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9756" tabRatio="642" activeTab="0"/>
  </bookViews>
  <sheets>
    <sheet name="Control" sheetId="1" r:id="rId1"/>
    <sheet name="Plot Data" sheetId="2" state="hidden" r:id="rId2"/>
    <sheet name="Vel. Response" sheetId="3" r:id="rId3"/>
    <sheet name="Vel. Asymptotes" sheetId="4" r:id="rId4"/>
    <sheet name="With High Pass" sheetId="5" r:id="rId5"/>
    <sheet name="Loop Phase" sheetId="6" r:id="rId6"/>
    <sheet name="Force Response" sheetId="7" r:id="rId7"/>
    <sheet name="Accel. Response" sheetId="8" r:id="rId8"/>
    <sheet name="Variables" sheetId="9" r:id="rId9"/>
    <sheet name="Quad Ampl." sheetId="10" state="hidden" r:id="rId10"/>
    <sheet name="Quad Test" sheetId="11" state="hidden" r:id="rId11"/>
  </sheets>
  <definedNames>
    <definedName name="_xlnm.Print_Area" localSheetId="0">'Control'!$A$14:$AI$88</definedName>
    <definedName name="_xlnm.Print_Titles" localSheetId="0">'Control'!$1:$13</definedName>
  </definedNames>
  <calcPr fullCalcOnLoad="1"/>
</workbook>
</file>

<file path=xl/sharedStrings.xml><?xml version="1.0" encoding="utf-8"?>
<sst xmlns="http://schemas.openxmlformats.org/spreadsheetml/2006/main" count="431" uniqueCount="281">
  <si>
    <t>wL</t>
  </si>
  <si>
    <t>b=</t>
  </si>
  <si>
    <t>c=</t>
  </si>
  <si>
    <t>poles at</t>
  </si>
  <si>
    <t>Real</t>
  </si>
  <si>
    <t>Imag</t>
  </si>
  <si>
    <t>w=</t>
  </si>
  <si>
    <t>Mag num</t>
  </si>
  <si>
    <t>Mag den</t>
  </si>
  <si>
    <t>W</t>
  </si>
  <si>
    <t>Freq</t>
  </si>
  <si>
    <t>Mag Fcn</t>
  </si>
  <si>
    <t>Log10 F</t>
  </si>
  <si>
    <t>mag*w</t>
  </si>
  <si>
    <t>20 log mag</t>
  </si>
  <si>
    <t>w</t>
  </si>
  <si>
    <t>Freq.</t>
  </si>
  <si>
    <t>Hz</t>
  </si>
  <si>
    <t>Rad/sec</t>
  </si>
  <si>
    <t>V/N</t>
  </si>
  <si>
    <t>M =</t>
  </si>
  <si>
    <t>Gn =</t>
  </si>
  <si>
    <r>
      <t>z</t>
    </r>
    <r>
      <rPr>
        <sz val="10"/>
        <rFont val="Arial"/>
        <family val="2"/>
      </rPr>
      <t xml:space="preserve"> = </t>
    </r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</si>
  <si>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</si>
  <si>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 xml:space="preserve">K = </t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</si>
  <si>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</si>
  <si>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Spring - Mass</t>
  </si>
  <si>
    <t>m/N</t>
  </si>
  <si>
    <t>V/m</t>
  </si>
  <si>
    <t>Loop Gain</t>
  </si>
  <si>
    <t>Loop</t>
  </si>
  <si>
    <t>Phase</t>
  </si>
  <si>
    <t>Feedback Branches</t>
  </si>
  <si>
    <t xml:space="preserve">Total </t>
  </si>
  <si>
    <t>N/V</t>
  </si>
  <si>
    <t>Mag.</t>
  </si>
  <si>
    <t>B</t>
  </si>
  <si>
    <t>Forward Path</t>
  </si>
  <si>
    <t>deg</t>
  </si>
  <si>
    <t>Feedbk.</t>
  </si>
  <si>
    <t>Coil</t>
  </si>
  <si>
    <t>N/A</t>
  </si>
  <si>
    <t>A/V</t>
  </si>
  <si>
    <t>r =</t>
  </si>
  <si>
    <r>
      <t xml:space="preserve">x M </t>
    </r>
    <r>
      <rPr>
        <b/>
        <sz val="12"/>
        <rFont val="Symbol"/>
        <family val="1"/>
      </rPr>
      <t>w</t>
    </r>
    <r>
      <rPr>
        <b/>
        <sz val="10"/>
        <rFont val="Arial"/>
        <family val="2"/>
      </rPr>
      <t xml:space="preserve"> </t>
    </r>
  </si>
  <si>
    <t>sec</t>
  </si>
  <si>
    <t>kg</t>
  </si>
  <si>
    <t>V/A</t>
  </si>
  <si>
    <t>A/ V/sec</t>
  </si>
  <si>
    <t>Mag</t>
  </si>
  <si>
    <t>Arg</t>
  </si>
  <si>
    <t>Arg.</t>
  </si>
  <si>
    <t>V /  m/s</t>
  </si>
  <si>
    <t>Derived Values</t>
  </si>
  <si>
    <r>
      <t>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</si>
  <si>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t>A /V/sec</t>
  </si>
  <si>
    <t>Displ Amplifier</t>
  </si>
  <si>
    <t>V / m/s</t>
  </si>
  <si>
    <r>
      <t>V / m/s</t>
    </r>
    <r>
      <rPr>
        <b/>
        <vertAlign val="superscript"/>
        <sz val="10"/>
        <rFont val="Arial"/>
        <family val="2"/>
      </rPr>
      <t>2</t>
    </r>
  </si>
  <si>
    <r>
      <t>V  m/s</t>
    </r>
    <r>
      <rPr>
        <b/>
        <vertAlign val="superscript"/>
        <sz val="10"/>
        <rFont val="Arial"/>
        <family val="2"/>
      </rPr>
      <t>2</t>
    </r>
  </si>
  <si>
    <r>
      <t>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=</t>
    </r>
  </si>
  <si>
    <r>
      <t>C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=</t>
    </r>
  </si>
  <si>
    <t>A2</t>
  </si>
  <si>
    <t>A3</t>
  </si>
  <si>
    <t>A4</t>
  </si>
  <si>
    <t>A5</t>
  </si>
  <si>
    <t>A1</t>
  </si>
  <si>
    <t>Asymptotes</t>
  </si>
  <si>
    <t>V / V</t>
  </si>
  <si>
    <t>F(s)</t>
  </si>
  <si>
    <t>Prop(s)</t>
  </si>
  <si>
    <t>Integral(s)</t>
  </si>
  <si>
    <t>Deriv(s)</t>
  </si>
  <si>
    <t>Sum(s)</t>
  </si>
  <si>
    <t>B Path(s)</t>
  </si>
  <si>
    <t>Mag 1/B</t>
  </si>
  <si>
    <t>x M</t>
  </si>
  <si>
    <r>
      <t xml:space="preserve">x M </t>
    </r>
    <r>
      <rPr>
        <b/>
        <sz val="10"/>
        <rFont val="Symbol"/>
        <family val="1"/>
      </rPr>
      <t>w</t>
    </r>
    <r>
      <rPr>
        <b/>
        <sz val="10"/>
        <rFont val="Arial"/>
        <family val="2"/>
      </rPr>
      <t xml:space="preserve"> </t>
    </r>
  </si>
  <si>
    <t>A(s)</t>
  </si>
  <si>
    <t>Mag(A)</t>
  </si>
  <si>
    <t>AB(s)</t>
  </si>
  <si>
    <t>MagAB</t>
  </si>
  <si>
    <t>Closed Loop Transfer Function</t>
  </si>
  <si>
    <r>
      <t>C.L.T.F.  x   M</t>
    </r>
    <r>
      <rPr>
        <b/>
        <sz val="12"/>
        <rFont val="Symbol"/>
        <family val="1"/>
      </rPr>
      <t>w</t>
    </r>
    <r>
      <rPr>
        <b/>
        <sz val="10"/>
        <rFont val="Arial"/>
        <family val="2"/>
      </rPr>
      <t xml:space="preserve"> </t>
    </r>
  </si>
  <si>
    <t>Parameters</t>
  </si>
  <si>
    <t>Default</t>
  </si>
  <si>
    <t>Mod to disp amp.</t>
  </si>
  <si>
    <t>Default=1</t>
  </si>
  <si>
    <t>F - Hz</t>
  </si>
  <si>
    <r>
      <t>z</t>
    </r>
    <r>
      <rPr>
        <b/>
        <sz val="10"/>
        <rFont val="Arial"/>
        <family val="2"/>
      </rPr>
      <t xml:space="preserve"> = 0.1</t>
    </r>
  </si>
  <si>
    <r>
      <t>z</t>
    </r>
    <r>
      <rPr>
        <b/>
        <sz val="10"/>
        <rFont val="Arial"/>
        <family val="2"/>
      </rPr>
      <t xml:space="preserve"> = 0.25</t>
    </r>
  </si>
  <si>
    <r>
      <t>z</t>
    </r>
    <r>
      <rPr>
        <b/>
        <sz val="10"/>
        <rFont val="Arial"/>
        <family val="2"/>
      </rPr>
      <t xml:space="preserve"> = 0.5</t>
    </r>
  </si>
  <si>
    <r>
      <t>z</t>
    </r>
    <r>
      <rPr>
        <b/>
        <sz val="10"/>
        <rFont val="Arial"/>
        <family val="2"/>
      </rPr>
      <t xml:space="preserve"> = 0.707</t>
    </r>
  </si>
  <si>
    <r>
      <t>z</t>
    </r>
    <r>
      <rPr>
        <b/>
        <sz val="10"/>
        <rFont val="Arial"/>
        <family val="2"/>
      </rPr>
      <t xml:space="preserve"> = 0.8</t>
    </r>
  </si>
  <si>
    <r>
      <t>z</t>
    </r>
    <r>
      <rPr>
        <b/>
        <sz val="10"/>
        <rFont val="Arial"/>
        <family val="2"/>
      </rPr>
      <t xml:space="preserve"> = 1.0</t>
    </r>
  </si>
  <si>
    <r>
      <t>z</t>
    </r>
    <r>
      <rPr>
        <sz val="10"/>
        <rFont val="Arial"/>
        <family val="0"/>
      </rPr>
      <t xml:space="preserve"> = </t>
    </r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</si>
  <si>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 </t>
    </r>
  </si>
  <si>
    <r>
      <t>1/</t>
    </r>
    <r>
      <rPr>
        <b/>
        <sz val="14"/>
        <rFont val="Symbol"/>
        <family val="1"/>
      </rPr>
      <t>w</t>
    </r>
  </si>
  <si>
    <t>V / m/s2</t>
  </si>
  <si>
    <t>AA</t>
  </si>
  <si>
    <r>
      <t>Mag 1/B x M</t>
    </r>
    <r>
      <rPr>
        <b/>
        <sz val="12"/>
        <rFont val="Symbol"/>
        <family val="1"/>
      </rPr>
      <t>w</t>
    </r>
    <r>
      <rPr>
        <b/>
        <sz val="10"/>
        <rFont val="Arial"/>
        <family val="2"/>
      </rPr>
      <t xml:space="preserve"> </t>
    </r>
  </si>
  <si>
    <t>Mag 1/B   x M</t>
  </si>
  <si>
    <t>CLTF     x M</t>
  </si>
  <si>
    <r>
      <t>Mag CLTF   x M</t>
    </r>
    <r>
      <rPr>
        <b/>
        <sz val="12"/>
        <rFont val="Symbol"/>
        <family val="1"/>
      </rPr>
      <t>w</t>
    </r>
  </si>
  <si>
    <t>Mag(A)   x M</t>
  </si>
  <si>
    <r>
      <t xml:space="preserve">Mag(A) x M </t>
    </r>
    <r>
      <rPr>
        <b/>
        <sz val="12"/>
        <rFont val="Symbol"/>
        <family val="1"/>
      </rPr>
      <t>w</t>
    </r>
    <r>
      <rPr>
        <b/>
        <sz val="10"/>
        <rFont val="Arial"/>
        <family val="2"/>
      </rPr>
      <t xml:space="preserve"> </t>
    </r>
  </si>
  <si>
    <t>AP</t>
  </si>
  <si>
    <t>AR</t>
  </si>
  <si>
    <t>AS</t>
  </si>
  <si>
    <t>Y</t>
  </si>
  <si>
    <t>Mag CLTF</t>
  </si>
  <si>
    <t>AQ</t>
  </si>
  <si>
    <t>N/m</t>
  </si>
  <si>
    <r>
      <t>sec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</t>
    </r>
  </si>
  <si>
    <t>Ohms</t>
  </si>
  <si>
    <t>Damping of feedback path</t>
  </si>
  <si>
    <r>
      <t>Rp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</t>
    </r>
  </si>
  <si>
    <r>
      <t>Rp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</si>
  <si>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>z</t>
    </r>
    <r>
      <rPr>
        <vertAlign val="subscript"/>
        <sz val="12"/>
        <rFont val="Times New Roman"/>
        <family val="1"/>
      </rPr>
      <t>B</t>
    </r>
    <r>
      <rPr>
        <sz val="10"/>
        <rFont val="Arial"/>
        <family val="2"/>
      </rPr>
      <t xml:space="preserve"> =</t>
    </r>
  </si>
  <si>
    <t>h =</t>
  </si>
  <si>
    <r>
      <t>w</t>
    </r>
    <r>
      <rPr>
        <vertAlign val="subscript"/>
        <sz val="10"/>
        <rFont val="Arial"/>
        <family val="2"/>
      </rPr>
      <t xml:space="preserve">2 </t>
    </r>
    <r>
      <rPr>
        <sz val="10"/>
        <rFont val="Arial"/>
        <family val="0"/>
      </rPr>
      <t>=</t>
    </r>
  </si>
  <si>
    <r>
      <t>w</t>
    </r>
    <r>
      <rPr>
        <vertAlign val="subscript"/>
        <sz val="10"/>
        <rFont val="Arial"/>
        <family val="2"/>
      </rPr>
      <t xml:space="preserve">1 </t>
    </r>
    <r>
      <rPr>
        <sz val="10"/>
        <rFont val="Arial"/>
        <family val="0"/>
      </rPr>
      <t>=</t>
    </r>
  </si>
  <si>
    <r>
      <t>C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</si>
  <si>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</si>
  <si>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=</t>
    </r>
  </si>
  <si>
    <t>=2*PI()*F5</t>
  </si>
  <si>
    <t>=COMPLEX(1/$B$5,0,"j")</t>
  </si>
  <si>
    <t>Cells in row 4 are "TRUE" if the sum of the values in a column is the same as the corresponding sum on worksheet "MAIN"</t>
  </si>
  <si>
    <t>F</t>
  </si>
  <si>
    <t>O</t>
  </si>
  <si>
    <t>AD</t>
  </si>
  <si>
    <t>X</t>
  </si>
  <si>
    <t>P</t>
  </si>
  <si>
    <t>AF</t>
  </si>
  <si>
    <t>Q</t>
  </si>
  <si>
    <t>AH</t>
  </si>
  <si>
    <t>AT</t>
  </si>
  <si>
    <r>
      <t>Q</t>
    </r>
    <r>
      <rPr>
        <vertAlign val="subscript"/>
        <sz val="10"/>
        <rFont val="Arial"/>
        <family val="2"/>
      </rPr>
      <t>2</t>
    </r>
  </si>
  <si>
    <r>
      <t>AH</t>
    </r>
    <r>
      <rPr>
        <vertAlign val="subscript"/>
        <sz val="10"/>
        <rFont val="Arial"/>
        <family val="2"/>
      </rPr>
      <t>2</t>
    </r>
  </si>
  <si>
    <r>
      <t>Y</t>
    </r>
    <r>
      <rPr>
        <vertAlign val="subscript"/>
        <sz val="10"/>
        <rFont val="Arial"/>
        <family val="2"/>
      </rPr>
      <t>2</t>
    </r>
  </si>
  <si>
    <r>
      <t>AA</t>
    </r>
    <r>
      <rPr>
        <vertAlign val="subscript"/>
        <sz val="10"/>
        <rFont val="Arial"/>
        <family val="2"/>
      </rPr>
      <t>2</t>
    </r>
  </si>
  <si>
    <t>Mag w/93 sec Integrator</t>
  </si>
  <si>
    <r>
      <t>AN</t>
    </r>
    <r>
      <rPr>
        <vertAlign val="subscript"/>
        <sz val="10"/>
        <rFont val="Arial"/>
        <family val="2"/>
      </rPr>
      <t>2</t>
    </r>
  </si>
  <si>
    <t>Loop Phase</t>
  </si>
  <si>
    <t>AB</t>
  </si>
  <si>
    <t>Force Response</t>
  </si>
  <si>
    <t>Acceleration Response</t>
  </si>
  <si>
    <t>Velocity Response</t>
  </si>
  <si>
    <t>Velocity Asymptotes</t>
  </si>
  <si>
    <t>Velocity Response 2</t>
  </si>
  <si>
    <r>
      <t>w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</si>
  <si>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t>rad/sec</t>
  </si>
  <si>
    <t>Spring-Mass</t>
  </si>
  <si>
    <r>
      <t>f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=</t>
    </r>
  </si>
  <si>
    <r>
      <t>z</t>
    </r>
    <r>
      <rPr>
        <vertAlign val="subscript"/>
        <sz val="10"/>
        <rFont val="Arial"/>
        <family val="2"/>
      </rPr>
      <t xml:space="preserve"> </t>
    </r>
  </si>
  <si>
    <t>Mods to Disp. amp</t>
  </si>
  <si>
    <r>
      <t>AV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</si>
  <si>
    <t>Instrument response</t>
  </si>
  <si>
    <r>
      <t>F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(s)</t>
    </r>
  </si>
  <si>
    <t>Original</t>
  </si>
  <si>
    <t>Modified</t>
  </si>
  <si>
    <t>Low pole</t>
  </si>
  <si>
    <t>High zero</t>
  </si>
  <si>
    <t>Mag(AB)</t>
  </si>
  <si>
    <t>=IMDIV(COMPLEX(0,$D$14*$B14,"j"),COMPLEX(1,$B14*$D$20*$D$14,"j"))</t>
  </si>
  <si>
    <t>=IMSUM($H15,$I15,$J15)</t>
  </si>
  <si>
    <t>=IMPRODUCT(1/$D$17,IMDIV(COMPLEX(1/$D$15,0,"j"),COMPLEX(1/$D$15,$B14,"j")))</t>
  </si>
  <si>
    <t>=COMPLEX($D$18,0,"j")</t>
  </si>
  <si>
    <t>=IMPRODUCT($L14,$K14)</t>
  </si>
  <si>
    <t>=IMABS($M14)</t>
  </si>
  <si>
    <t>=1/$N14</t>
  </si>
  <si>
    <t>=$O14*$D$19</t>
  </si>
  <si>
    <t>=+$O14*$D$19*$B14</t>
  </si>
  <si>
    <t>=IMDIV(COMPLEX(1/$D$29,0,"j"),COMPLEX(1-$B14*$B14*$D$30*$D$30,$B14*2*$D$21*$D$30,"j"))</t>
  </si>
  <si>
    <t>=IMABS($R14)</t>
  </si>
  <si>
    <t>=IMPRODUCT(IMDIV($D$23,COMPLEX(1,$B14*$D$31,"j")),$AU14)</t>
  </si>
  <si>
    <t>=IMABS($T14)</t>
  </si>
  <si>
    <t>=IMPRODUCT($R14,$T14)</t>
  </si>
  <si>
    <t>=IMABS($V14)</t>
  </si>
  <si>
    <t>=$W14*$D$19</t>
  </si>
  <si>
    <t>=$W14*$D$19*$B14</t>
  </si>
  <si>
    <t>=IMPRODUCT($M14,$V14)</t>
  </si>
  <si>
    <t>=IMABS($Z14)</t>
  </si>
  <si>
    <t>=180/PI()*IMARGUMENT($Z14)</t>
  </si>
  <si>
    <t>=IMDIV($V14,IMSUM(1,IMPRODUCT($V14,$M14)))</t>
  </si>
  <si>
    <t>=IMABS($AC14)</t>
  </si>
  <si>
    <t>=180/PI()*IMARGUMENT($AC14)</t>
  </si>
  <si>
    <t>=$AD14*$D$19</t>
  </si>
  <si>
    <t>=IMPRODUCT($AC14,COMPLEX(0,$B14,"j"),COMPLEX($D$19,0,"j"))</t>
  </si>
  <si>
    <t>=IMABS(AG14)</t>
  </si>
  <si>
    <t>=180/PI()*IMARGUMENT($AG14)</t>
  </si>
  <si>
    <t>=IMABS(AJ14)</t>
  </si>
  <si>
    <t>=180/PI()*IMARGUMENT($AJ14)</t>
  </si>
  <si>
    <t>=IMPRODUCT(AG14,AJ14)</t>
  </si>
  <si>
    <t>=IMABS(AM14)</t>
  </si>
  <si>
    <t>=180/PI()*IMARGUMENT($AM14)</t>
  </si>
  <si>
    <t>=$B14*$D$19*$D$23/$D$29*D$35/D$34</t>
  </si>
  <si>
    <t>=$D$23/$B14</t>
  </si>
  <si>
    <t>=$B14*$D$19/($D$18*(1/$D$16+1/$D$17))</t>
  </si>
  <si>
    <t>=$B14*$B14*$D$19*$D$17*$D$15/$D$18</t>
  </si>
  <si>
    <t>=$D$19/($D$14*$D$18)</t>
  </si>
  <si>
    <t>=IF($D$40,IMDIV(COMPLEX($D$35,$B14,"j"),COMPLEX($D$34,$B14,"j")),1)</t>
  </si>
  <si>
    <t>=IMABS(AU14)</t>
  </si>
  <si>
    <t>=U14/100</t>
  </si>
  <si>
    <t>Gain-Crossover Frequency</t>
  </si>
  <si>
    <t>Phase Margin</t>
  </si>
  <si>
    <t>Gain Crossover</t>
  </si>
  <si>
    <t>Disp. Amp. filter</t>
  </si>
  <si>
    <t>Excel</t>
  </si>
  <si>
    <t>Morrissey</t>
  </si>
  <si>
    <t>M</t>
  </si>
  <si>
    <t>r</t>
  </si>
  <si>
    <t>K</t>
  </si>
  <si>
    <r>
      <t>C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</t>
    </r>
  </si>
  <si>
    <r>
      <t>T</t>
    </r>
    <r>
      <rPr>
        <vertAlign val="subscript"/>
        <sz val="12"/>
        <rFont val="Arial"/>
        <family val="2"/>
      </rPr>
      <t>I</t>
    </r>
    <r>
      <rPr>
        <sz val="12"/>
        <rFont val="Arial"/>
        <family val="0"/>
      </rPr>
      <t xml:space="preserve"> </t>
    </r>
  </si>
  <si>
    <r>
      <t>R</t>
    </r>
    <r>
      <rPr>
        <vertAlign val="subscript"/>
        <sz val="12"/>
        <rFont val="Arial"/>
        <family val="2"/>
      </rPr>
      <t>p</t>
    </r>
    <r>
      <rPr>
        <sz val="12"/>
        <rFont val="Arial"/>
        <family val="0"/>
      </rPr>
      <t xml:space="preserve"> </t>
    </r>
  </si>
  <si>
    <r>
      <t>R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 xml:space="preserve"> </t>
    </r>
  </si>
  <si>
    <r>
      <t>G</t>
    </r>
    <r>
      <rPr>
        <vertAlign val="subscript"/>
        <sz val="12"/>
        <rFont val="Arial"/>
        <family val="2"/>
      </rPr>
      <t>n</t>
    </r>
    <r>
      <rPr>
        <sz val="12"/>
        <rFont val="Arial"/>
        <family val="0"/>
      </rPr>
      <t xml:space="preserve"> </t>
    </r>
  </si>
  <si>
    <r>
      <t>R</t>
    </r>
    <r>
      <rPr>
        <vertAlign val="subscript"/>
        <sz val="12"/>
        <rFont val="Arial"/>
        <family val="2"/>
      </rPr>
      <t>c</t>
    </r>
    <r>
      <rPr>
        <sz val="12"/>
        <rFont val="Arial"/>
        <family val="0"/>
      </rPr>
      <t xml:space="preserve"> </t>
    </r>
  </si>
  <si>
    <r>
      <t>z</t>
    </r>
    <r>
      <rPr>
        <sz val="12"/>
        <rFont val="Arial"/>
        <family val="2"/>
      </rPr>
      <t xml:space="preserve"> </t>
    </r>
  </si>
  <si>
    <r>
      <t>T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</t>
    </r>
  </si>
  <si>
    <r>
      <t>C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 xml:space="preserve"> </t>
    </r>
  </si>
  <si>
    <r>
      <t>t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</t>
    </r>
  </si>
  <si>
    <r>
      <t>t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 xml:space="preserve"> </t>
    </r>
  </si>
  <si>
    <r>
      <t>w</t>
    </r>
    <r>
      <rPr>
        <vertAlign val="subscript"/>
        <sz val="10"/>
        <rFont val="Arial"/>
        <family val="2"/>
      </rPr>
      <t xml:space="preserve">1 </t>
    </r>
  </si>
  <si>
    <r>
      <t>w</t>
    </r>
    <r>
      <rPr>
        <vertAlign val="subscript"/>
        <sz val="10"/>
        <rFont val="Arial"/>
        <family val="2"/>
      </rPr>
      <t xml:space="preserve">2 </t>
    </r>
  </si>
  <si>
    <r>
      <t>sec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</t>
    </r>
  </si>
  <si>
    <t>C</t>
  </si>
  <si>
    <t>Fd</t>
  </si>
  <si>
    <t>feedback capacitor</t>
  </si>
  <si>
    <t>displacement transducer time constant</t>
  </si>
  <si>
    <t>displacement transducer constant</t>
  </si>
  <si>
    <t>force transducer constant</t>
  </si>
  <si>
    <t>sensor mass</t>
  </si>
  <si>
    <t>proportional feedback resistor</t>
  </si>
  <si>
    <r>
      <t>R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 xml:space="preserve"> </t>
    </r>
  </si>
  <si>
    <t>force transducer coil resistance</t>
  </si>
  <si>
    <t>spring-mass free period</t>
  </si>
  <si>
    <t>integrator time constant</t>
  </si>
  <si>
    <t>feedback path damping</t>
  </si>
  <si>
    <t>---</t>
  </si>
  <si>
    <r>
      <t>R</t>
    </r>
    <r>
      <rPr>
        <vertAlign val="subscript"/>
        <sz val="12"/>
        <rFont val="Arial"/>
        <family val="2"/>
      </rPr>
      <t>I</t>
    </r>
    <r>
      <rPr>
        <sz val="12"/>
        <rFont val="Arial"/>
        <family val="0"/>
      </rPr>
      <t xml:space="preserve"> </t>
    </r>
  </si>
  <si>
    <t>integrator feedback resistor</t>
  </si>
  <si>
    <r>
      <t>T</t>
    </r>
    <r>
      <rPr>
        <vertAlign val="subscript"/>
        <sz val="12"/>
        <rFont val="Arial"/>
        <family val="2"/>
      </rPr>
      <t>d</t>
    </r>
    <r>
      <rPr>
        <sz val="12"/>
        <rFont val="Arial"/>
        <family val="0"/>
      </rPr>
      <t xml:space="preserve"> </t>
    </r>
  </si>
  <si>
    <r>
      <t>T</t>
    </r>
    <r>
      <rPr>
        <vertAlign val="subscript"/>
        <sz val="12"/>
        <rFont val="Arial"/>
        <family val="2"/>
      </rPr>
      <t>n</t>
    </r>
    <r>
      <rPr>
        <sz val="12"/>
        <rFont val="Arial"/>
        <family val="0"/>
      </rPr>
      <t xml:space="preserve"> </t>
    </r>
  </si>
  <si>
    <t>instrument effective natural period</t>
  </si>
  <si>
    <t>instrument damping</t>
  </si>
  <si>
    <t>Others</t>
  </si>
  <si>
    <t>derivative feedback capacitor</t>
  </si>
  <si>
    <t>mechanical spring rate</t>
  </si>
  <si>
    <t>Mass</t>
  </si>
  <si>
    <t>spring-mass damping factor</t>
  </si>
  <si>
    <r>
      <t>t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2"/>
      </rPr>
      <t xml:space="preserve"> =</t>
    </r>
  </si>
  <si>
    <r>
      <t>R</t>
    </r>
    <r>
      <rPr>
        <vertAlign val="subscript"/>
        <sz val="10"/>
        <rFont val="Times New Roman"/>
        <family val="1"/>
      </rPr>
      <t>I</t>
    </r>
    <r>
      <rPr>
        <sz val="10"/>
        <rFont val="Arial"/>
        <family val="2"/>
      </rPr>
      <t xml:space="preserve"> =</t>
    </r>
  </si>
  <si>
    <r>
      <t>t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 xml:space="preserve"> </t>
    </r>
  </si>
  <si>
    <r>
      <t>R</t>
    </r>
    <r>
      <rPr>
        <vertAlign val="subscript"/>
        <sz val="12"/>
        <rFont val="Times New Roman"/>
        <family val="1"/>
      </rPr>
      <t>I</t>
    </r>
    <r>
      <rPr>
        <sz val="12"/>
        <rFont val="Arial"/>
        <family val="0"/>
      </rPr>
      <t xml:space="preserve"> </t>
    </r>
  </si>
  <si>
    <t>Loop 4</t>
  </si>
  <si>
    <r>
      <t>R</t>
    </r>
    <r>
      <rPr>
        <vertAlign val="subscript"/>
        <sz val="12"/>
        <rFont val="Arial"/>
        <family val="2"/>
      </rPr>
      <t>0</t>
    </r>
    <r>
      <rPr>
        <sz val="12"/>
        <rFont val="Arial"/>
        <family val="2"/>
      </rPr>
      <t xml:space="preserve"> </t>
    </r>
  </si>
  <si>
    <t>N / M/sec</t>
  </si>
  <si>
    <t>spring-mass velocity damping</t>
  </si>
  <si>
    <t>undamped natural period</t>
  </si>
  <si>
    <r>
      <t>A</t>
    </r>
    <r>
      <rPr>
        <vertAlign val="subscript"/>
        <sz val="12"/>
        <rFont val="Arial"/>
        <family val="2"/>
      </rPr>
      <t>f</t>
    </r>
    <r>
      <rPr>
        <sz val="12"/>
        <rFont val="Arial"/>
        <family val="0"/>
      </rPr>
      <t xml:space="preserve"> </t>
    </r>
  </si>
  <si>
    <r>
      <t>w</t>
    </r>
    <r>
      <rPr>
        <vertAlign val="subscript"/>
        <sz val="12"/>
        <rFont val="Times New Roman"/>
        <family val="1"/>
      </rPr>
      <t>0</t>
    </r>
  </si>
  <si>
    <r>
      <t>rad/sec</t>
    </r>
    <r>
      <rPr>
        <sz val="10"/>
        <rFont val="Arial"/>
        <family val="0"/>
      </rPr>
      <t xml:space="preserve"> </t>
    </r>
  </si>
  <si>
    <t>undamped natural frequency</t>
  </si>
  <si>
    <r>
      <t>z</t>
    </r>
    <r>
      <rPr>
        <vertAlign val="subscript"/>
        <sz val="12"/>
        <rFont val="Arial"/>
        <family val="2"/>
      </rPr>
      <t>0</t>
    </r>
    <r>
      <rPr>
        <sz val="14"/>
        <rFont val="Arial"/>
        <family val="2"/>
      </rPr>
      <t xml:space="preserve"> </t>
    </r>
  </si>
  <si>
    <t>damping factor</t>
  </si>
  <si>
    <r>
      <t>R</t>
    </r>
    <r>
      <rPr>
        <vertAlign val="subscript"/>
        <sz val="12"/>
        <rFont val="Arial"/>
        <family val="2"/>
      </rPr>
      <t>m</t>
    </r>
    <r>
      <rPr>
        <sz val="12"/>
        <rFont val="Arial"/>
        <family val="0"/>
      </rPr>
      <t xml:space="preserve"> </t>
    </r>
  </si>
  <si>
    <r>
      <t>C</t>
    </r>
    <r>
      <rPr>
        <vertAlign val="subscript"/>
        <sz val="12"/>
        <rFont val="Arial"/>
        <family val="2"/>
      </rPr>
      <t>m</t>
    </r>
    <r>
      <rPr>
        <sz val="12"/>
        <rFont val="Arial"/>
        <family val="0"/>
      </rPr>
      <t xml:space="preserve"> </t>
    </r>
  </si>
  <si>
    <t>Vbb output filter C</t>
  </si>
  <si>
    <r>
      <t>Vbb output filter R   note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</t>
    </r>
  </si>
  <si>
    <t>Forward branch transfer funct.  Consisting of spring-mass, displacement transducer &amp; transducer amplifier.</t>
  </si>
  <si>
    <r>
      <t>t</t>
    </r>
    <r>
      <rPr>
        <vertAlign val="subscript"/>
        <sz val="10"/>
        <rFont val="Times New Roman"/>
        <family val="1"/>
      </rPr>
      <t>VBB</t>
    </r>
    <r>
      <rPr>
        <sz val="10"/>
        <rFont val="Arial"/>
        <family val="2"/>
      </rPr>
      <t xml:space="preserve"> =</t>
    </r>
  </si>
  <si>
    <r>
      <t>VBB</t>
    </r>
    <r>
      <rPr>
        <b/>
        <vertAlign val="subscript"/>
        <sz val="10"/>
        <rFont val="Arial"/>
        <family val="2"/>
      </rPr>
      <t>out</t>
    </r>
    <r>
      <rPr>
        <b/>
        <sz val="10"/>
        <rFont val="Arial"/>
        <family val="2"/>
      </rPr>
      <t xml:space="preserve"> High pass</t>
    </r>
  </si>
  <si>
    <t>=IMDIV(COMPLEX(0,$B14,"j"),COMPLEX(1/$D$26,$B14,"j"))</t>
  </si>
  <si>
    <t>Formulas - relative to line 14 - 0.0001 Hz</t>
  </si>
  <si>
    <t>Freq. Ratio = Gain</t>
  </si>
  <si>
    <t>Apply modification?</t>
  </si>
  <si>
    <r>
      <t>VBB</t>
    </r>
    <r>
      <rPr>
        <vertAlign val="subscript"/>
        <sz val="10"/>
        <rFont val="Arial"/>
        <family val="2"/>
      </rPr>
      <t>out</t>
    </r>
    <r>
      <rPr>
        <sz val="10"/>
        <rFont val="Arial"/>
        <family val="0"/>
      </rPr>
      <t xml:space="preserve"> high-pass time const.</t>
    </r>
  </si>
  <si>
    <t>Spring Constant</t>
  </si>
  <si>
    <t>My added Displacement Amp. Gain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</si>
</sst>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  <numFmt numFmtId="166" formatCode="0.00000"/>
    <numFmt numFmtId="167" formatCode="0.E+00"/>
    <numFmt numFmtId="168" formatCode="0.0000"/>
    <numFmt numFmtId="169" formatCode="0.0E+00"/>
    <numFmt numFmtId="170" formatCode="0.0000E+00"/>
    <numFmt numFmtId="171" formatCode="0.0"/>
    <numFmt numFmtId="172" formatCode="0.000000"/>
    <numFmt numFmtId="173" formatCode="00000"/>
    <numFmt numFmtId="174" formatCode="[$-409]dddd\,\ mmmm\ dd\,\ yyyy"/>
    <numFmt numFmtId="175" formatCode="[$-409]h:mm:ss\ AM/PM"/>
    <numFmt numFmtId="176" formatCode="&quot;$&quot;#,##0.00000"/>
    <numFmt numFmtId="177" formatCode="#,##0.00000"/>
    <numFmt numFmtId="178" formatCode="#,##0.0"/>
    <numFmt numFmtId="179" formatCode="#,##0.000"/>
    <numFmt numFmtId="180" formatCode="#,##0.0000"/>
    <numFmt numFmtId="181" formatCode="0.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sz val="22.5"/>
      <name val="Arial"/>
      <family val="0"/>
    </font>
    <font>
      <sz val="23.75"/>
      <name val="Arial"/>
      <family val="0"/>
    </font>
    <font>
      <b/>
      <sz val="10"/>
      <name val="Arial"/>
      <family val="2"/>
    </font>
    <font>
      <b/>
      <sz val="14"/>
      <name val="Symbol"/>
      <family val="1"/>
    </font>
    <font>
      <sz val="10"/>
      <name val="Symbol"/>
      <family val="1"/>
    </font>
    <font>
      <vertAlign val="subscript"/>
      <sz val="10"/>
      <name val="Arial"/>
      <family val="2"/>
    </font>
    <font>
      <sz val="16"/>
      <name val="Symbol"/>
      <family val="1"/>
    </font>
    <font>
      <b/>
      <sz val="12"/>
      <name val="Symbol"/>
      <family val="1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sz val="14"/>
      <name val="Symbol"/>
      <family val="1"/>
    </font>
    <font>
      <sz val="3.5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12"/>
      <name val="Symbol"/>
      <family val="1"/>
    </font>
    <font>
      <vertAlign val="subscript"/>
      <sz val="12"/>
      <name val="Times New Roman"/>
      <family val="1"/>
    </font>
    <font>
      <sz val="10.25"/>
      <name val="Arial"/>
      <family val="2"/>
    </font>
    <font>
      <sz val="19.25"/>
      <name val="Arial"/>
      <family val="0"/>
    </font>
    <font>
      <b/>
      <sz val="12"/>
      <name val="Arial"/>
      <family val="2"/>
    </font>
    <font>
      <sz val="16.25"/>
      <name val="Arial"/>
      <family val="2"/>
    </font>
    <font>
      <b/>
      <sz val="16.25"/>
      <name val="Arial"/>
      <family val="2"/>
    </font>
    <font>
      <b/>
      <sz val="20.25"/>
      <name val="Arial"/>
      <family val="2"/>
    </font>
    <font>
      <sz val="8"/>
      <name val="Arial"/>
      <family val="0"/>
    </font>
    <font>
      <sz val="25.25"/>
      <name val="Arial"/>
      <family val="0"/>
    </font>
    <font>
      <sz val="30.75"/>
      <name val="Arial"/>
      <family val="0"/>
    </font>
    <font>
      <sz val="12"/>
      <name val="Arial"/>
      <family val="2"/>
    </font>
    <font>
      <b/>
      <sz val="11.75"/>
      <name val="Arial"/>
      <family val="2"/>
    </font>
    <font>
      <sz val="30.25"/>
      <name val="Arial"/>
      <family val="0"/>
    </font>
    <font>
      <sz val="11.75"/>
      <name val="Arial"/>
      <family val="2"/>
    </font>
    <font>
      <sz val="27.75"/>
      <name val="Arial"/>
      <family val="0"/>
    </font>
    <font>
      <b/>
      <sz val="11"/>
      <name val="Arial"/>
      <family val="2"/>
    </font>
    <font>
      <sz val="31.5"/>
      <name val="Arial"/>
      <family val="0"/>
    </font>
    <font>
      <sz val="11"/>
      <name val="Arial"/>
      <family val="2"/>
    </font>
    <font>
      <sz val="10"/>
      <color indexed="9"/>
      <name val="Arial"/>
      <family val="0"/>
    </font>
    <font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2"/>
      <name val="Arial"/>
      <family val="2"/>
    </font>
    <font>
      <vertAlign val="subscript"/>
      <sz val="10"/>
      <name val="Times New Roman"/>
      <family val="1"/>
    </font>
    <font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0"/>
      </left>
      <right style="double">
        <color indexed="10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 quotePrefix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5" fontId="0" fillId="2" borderId="0" xfId="0" applyNumberFormat="1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1" fontId="0" fillId="0" borderId="0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0" fillId="2" borderId="1" xfId="0" applyFill="1" applyBorder="1" applyAlignment="1">
      <alignment/>
    </xf>
    <xf numFmtId="171" fontId="0" fillId="2" borderId="2" xfId="0" applyNumberFormat="1" applyFill="1" applyBorder="1" applyAlignment="1">
      <alignment/>
    </xf>
    <xf numFmtId="171" fontId="0" fillId="0" borderId="2" xfId="0" applyNumberFormat="1" applyBorder="1" applyAlignment="1">
      <alignment/>
    </xf>
    <xf numFmtId="0" fontId="0" fillId="2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2" borderId="2" xfId="0" applyFill="1" applyBorder="1" applyAlignment="1">
      <alignment/>
    </xf>
    <xf numFmtId="2" fontId="0" fillId="0" borderId="0" xfId="0" applyNumberFormat="1" applyBorder="1" applyAlignment="1">
      <alignment/>
    </xf>
    <xf numFmtId="11" fontId="0" fillId="0" borderId="2" xfId="0" applyNumberFormat="1" applyBorder="1" applyAlignment="1">
      <alignment/>
    </xf>
    <xf numFmtId="11" fontId="0" fillId="2" borderId="2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165" fontId="0" fillId="0" borderId="0" xfId="0" applyNumberFormat="1" applyFill="1" applyBorder="1" applyAlignment="1">
      <alignment/>
    </xf>
    <xf numFmtId="171" fontId="0" fillId="0" borderId="2" xfId="0" applyNumberFormat="1" applyFill="1" applyBorder="1" applyAlignment="1">
      <alignment/>
    </xf>
    <xf numFmtId="171" fontId="0" fillId="0" borderId="2" xfId="0" applyNumberFormat="1" applyFill="1" applyBorder="1" applyAlignment="1">
      <alignment/>
    </xf>
    <xf numFmtId="11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1" fontId="0" fillId="0" borderId="0" xfId="0" applyNumberFormat="1" applyBorder="1" applyAlignment="1">
      <alignment/>
    </xf>
    <xf numFmtId="173" fontId="0" fillId="0" borderId="1" xfId="0" applyNumberFormat="1" applyBorder="1" applyAlignment="1" applyProtection="1">
      <alignment/>
      <protection hidden="1"/>
    </xf>
    <xf numFmtId="171" fontId="0" fillId="0" borderId="0" xfId="0" applyNumberFormat="1" applyBorder="1" applyAlignment="1">
      <alignment/>
    </xf>
    <xf numFmtId="171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11" fontId="3" fillId="0" borderId="0" xfId="0" applyNumberFormat="1" applyFont="1" applyAlignment="1">
      <alignment horizontal="center"/>
    </xf>
    <xf numFmtId="171" fontId="0" fillId="0" borderId="0" xfId="0" applyNumberFormat="1" applyFill="1" applyBorder="1" applyAlignment="1">
      <alignment/>
    </xf>
    <xf numFmtId="0" fontId="3" fillId="0" borderId="9" xfId="0" applyFont="1" applyBorder="1" applyAlignment="1">
      <alignment horizontal="center" vertical="center"/>
    </xf>
    <xf numFmtId="171" fontId="0" fillId="0" borderId="9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171" fontId="0" fillId="0" borderId="10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3" fillId="0" borderId="1" xfId="0" applyFont="1" applyBorder="1" applyAlignment="1" quotePrefix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168" fontId="0" fillId="0" borderId="2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2" xfId="0" applyFill="1" applyBorder="1" applyAlignment="1" quotePrefix="1">
      <alignment horizontal="center"/>
    </xf>
    <xf numFmtId="0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65" fontId="0" fillId="0" borderId="8" xfId="0" applyNumberFormat="1" applyBorder="1" applyAlignment="1">
      <alignment/>
    </xf>
    <xf numFmtId="11" fontId="0" fillId="0" borderId="7" xfId="0" applyNumberForma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0" fillId="2" borderId="0" xfId="0" applyFill="1" applyAlignment="1">
      <alignment/>
    </xf>
    <xf numFmtId="0" fontId="0" fillId="2" borderId="11" xfId="0" applyFill="1" applyBorder="1" applyAlignment="1">
      <alignment/>
    </xf>
    <xf numFmtId="0" fontId="0" fillId="3" borderId="12" xfId="0" applyFill="1" applyBorder="1" applyAlignment="1" applyProtection="1">
      <alignment horizontal="left"/>
      <protection locked="0"/>
    </xf>
    <xf numFmtId="11" fontId="0" fillId="3" borderId="12" xfId="0" applyNumberFormat="1" applyFill="1" applyBorder="1" applyAlignment="1" applyProtection="1">
      <alignment horizontal="left"/>
      <protection locked="0"/>
    </xf>
    <xf numFmtId="0" fontId="0" fillId="3" borderId="12" xfId="0" applyNumberFormat="1" applyFill="1" applyBorder="1" applyAlignment="1" applyProtection="1">
      <alignment horizontal="left"/>
      <protection locked="0"/>
    </xf>
    <xf numFmtId="165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1" fontId="0" fillId="0" borderId="2" xfId="0" applyNumberFormat="1" applyFill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" xfId="0" applyFill="1" applyBorder="1" applyAlignment="1">
      <alignment/>
    </xf>
    <xf numFmtId="164" fontId="0" fillId="4" borderId="0" xfId="0" applyNumberFormat="1" applyFill="1" applyBorder="1" applyAlignment="1">
      <alignment horizontal="left"/>
    </xf>
    <xf numFmtId="11" fontId="0" fillId="4" borderId="0" xfId="0" applyNumberFormat="1" applyFill="1" applyBorder="1" applyAlignment="1">
      <alignment horizontal="left"/>
    </xf>
    <xf numFmtId="0" fontId="0" fillId="4" borderId="0" xfId="0" applyFill="1" applyBorder="1" applyAlignment="1">
      <alignment/>
    </xf>
    <xf numFmtId="164" fontId="0" fillId="0" borderId="3" xfId="0" applyNumberFormat="1" applyFill="1" applyBorder="1" applyAlignment="1">
      <alignment/>
    </xf>
    <xf numFmtId="2" fontId="0" fillId="0" borderId="5" xfId="0" applyNumberFormat="1" applyBorder="1" applyAlignment="1">
      <alignment/>
    </xf>
    <xf numFmtId="164" fontId="0" fillId="0" borderId="1" xfId="0" applyNumberFormat="1" applyFill="1" applyBorder="1" applyAlignment="1">
      <alignment/>
    </xf>
    <xf numFmtId="2" fontId="0" fillId="0" borderId="2" xfId="0" applyNumberFormat="1" applyBorder="1" applyAlignment="1">
      <alignment/>
    </xf>
    <xf numFmtId="11" fontId="0" fillId="0" borderId="5" xfId="0" applyNumberFormat="1" applyBorder="1" applyAlignment="1">
      <alignment/>
    </xf>
    <xf numFmtId="0" fontId="0" fillId="0" borderId="4" xfId="0" applyBorder="1" applyAlignment="1">
      <alignment horizontal="center"/>
    </xf>
    <xf numFmtId="173" fontId="0" fillId="0" borderId="3" xfId="0" applyNumberFormat="1" applyBorder="1" applyAlignment="1" applyProtection="1">
      <alignment/>
      <protection hidden="1"/>
    </xf>
    <xf numFmtId="17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Border="1" applyAlignment="1" quotePrefix="1">
      <alignment horizontal="center"/>
    </xf>
    <xf numFmtId="170" fontId="0" fillId="0" borderId="2" xfId="0" applyNumberFormat="1" applyBorder="1" applyAlignment="1">
      <alignment/>
    </xf>
    <xf numFmtId="0" fontId="0" fillId="4" borderId="0" xfId="0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3" fontId="34" fillId="0" borderId="0" xfId="0" applyNumberFormat="1" applyFont="1" applyBorder="1" applyAlignment="1">
      <alignment/>
    </xf>
    <xf numFmtId="178" fontId="34" fillId="0" borderId="0" xfId="0" applyNumberFormat="1" applyFont="1" applyBorder="1" applyAlignment="1">
      <alignment/>
    </xf>
    <xf numFmtId="4" fontId="34" fillId="0" borderId="0" xfId="0" applyNumberFormat="1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34" fillId="0" borderId="2" xfId="0" applyNumberFormat="1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/>
    </xf>
    <xf numFmtId="49" fontId="0" fillId="0" borderId="0" xfId="0" applyNumberFormat="1" applyBorder="1" applyAlignment="1" quotePrefix="1">
      <alignment horizontal="left"/>
    </xf>
    <xf numFmtId="49" fontId="0" fillId="0" borderId="0" xfId="0" applyNumberFormat="1" applyBorder="1" applyAlignment="1">
      <alignment/>
    </xf>
    <xf numFmtId="49" fontId="3" fillId="0" borderId="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0" xfId="0" applyNumberFormat="1" applyFill="1" applyBorder="1" applyAlignment="1">
      <alignment horizontal="left"/>
    </xf>
    <xf numFmtId="164" fontId="0" fillId="4" borderId="4" xfId="0" applyNumberFormat="1" applyFill="1" applyBorder="1" applyAlignment="1">
      <alignment horizontal="left"/>
    </xf>
    <xf numFmtId="164" fontId="0" fillId="0" borderId="4" xfId="0" applyNumberForma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164" fontId="0" fillId="4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1" xfId="0" applyBorder="1" applyAlignment="1">
      <alignment/>
    </xf>
    <xf numFmtId="49" fontId="0" fillId="0" borderId="11" xfId="0" applyNumberFormat="1" applyBorder="1" applyAlignment="1" quotePrefix="1">
      <alignment horizontal="left"/>
    </xf>
    <xf numFmtId="0" fontId="0" fillId="0" borderId="3" xfId="0" applyBorder="1" applyAlignment="1">
      <alignment/>
    </xf>
    <xf numFmtId="0" fontId="0" fillId="0" borderId="0" xfId="0" applyNumberFormat="1" applyAlignment="1">
      <alignment/>
    </xf>
    <xf numFmtId="0" fontId="0" fillId="0" borderId="4" xfId="0" applyFill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2" fontId="0" fillId="4" borderId="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5" fillId="0" borderId="1" xfId="0" applyFont="1" applyFill="1" applyBorder="1" applyAlignment="1" quotePrefix="1">
      <alignment horizontal="right"/>
    </xf>
    <xf numFmtId="0" fontId="26" fillId="0" borderId="3" xfId="0" applyFont="1" applyBorder="1" applyAlignment="1" quotePrefix="1">
      <alignment horizontal="right"/>
    </xf>
    <xf numFmtId="0" fontId="11" fillId="0" borderId="6" xfId="0" applyFont="1" applyBorder="1" applyAlignment="1" quotePrefix="1">
      <alignment horizontal="right" vertical="center"/>
    </xf>
    <xf numFmtId="0" fontId="0" fillId="0" borderId="6" xfId="0" applyBorder="1" applyAlignment="1">
      <alignment horizontal="center"/>
    </xf>
    <xf numFmtId="0" fontId="3" fillId="0" borderId="18" xfId="0" applyFont="1" applyBorder="1" applyAlignment="1">
      <alignment horizontal="center"/>
    </xf>
    <xf numFmtId="171" fontId="0" fillId="4" borderId="2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164" fontId="0" fillId="4" borderId="2" xfId="0" applyNumberFormat="1" applyFill="1" applyBorder="1" applyAlignment="1">
      <alignment/>
    </xf>
    <xf numFmtId="168" fontId="0" fillId="4" borderId="2" xfId="0" applyNumberFormat="1" applyFill="1" applyBorder="1" applyAlignment="1">
      <alignment/>
    </xf>
    <xf numFmtId="166" fontId="0" fillId="4" borderId="2" xfId="0" applyNumberFormat="1" applyFill="1" applyBorder="1" applyAlignment="1">
      <alignment/>
    </xf>
    <xf numFmtId="0" fontId="0" fillId="4" borderId="7" xfId="0" applyFill="1" applyBorder="1" applyAlignment="1">
      <alignment/>
    </xf>
    <xf numFmtId="164" fontId="0" fillId="4" borderId="4" xfId="0" applyNumberFormat="1" applyFill="1" applyBorder="1" applyAlignment="1">
      <alignment/>
    </xf>
    <xf numFmtId="164" fontId="0" fillId="4" borderId="8" xfId="0" applyNumberFormat="1" applyFill="1" applyBorder="1" applyAlignment="1">
      <alignment/>
    </xf>
    <xf numFmtId="165" fontId="0" fillId="5" borderId="1" xfId="0" applyNumberForma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11" fontId="0" fillId="5" borderId="1" xfId="0" applyNumberFormat="1" applyFill="1" applyBorder="1" applyAlignment="1">
      <alignment horizontal="left"/>
    </xf>
    <xf numFmtId="0" fontId="0" fillId="5" borderId="1" xfId="0" applyNumberFormat="1" applyFill="1" applyBorder="1" applyAlignment="1">
      <alignment horizontal="left"/>
    </xf>
    <xf numFmtId="164" fontId="15" fillId="0" borderId="17" xfId="0" applyNumberFormat="1" applyFont="1" applyFill="1" applyBorder="1" applyAlignment="1" quotePrefix="1">
      <alignment horizontal="center"/>
    </xf>
    <xf numFmtId="0" fontId="0" fillId="0" borderId="3" xfId="0" applyFill="1" applyBorder="1" applyAlignment="1" quotePrefix="1">
      <alignment horizontal="center"/>
    </xf>
    <xf numFmtId="0" fontId="0" fillId="4" borderId="19" xfId="0" applyFill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" xfId="0" applyFont="1" applyFill="1" applyBorder="1" applyAlignment="1" quotePrefix="1">
      <alignment horizontal="right"/>
    </xf>
    <xf numFmtId="165" fontId="0" fillId="3" borderId="12" xfId="0" applyNumberFormat="1" applyFill="1" applyBorder="1" applyAlignment="1" applyProtection="1">
      <alignment horizontal="left"/>
      <protection locked="0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168" fontId="0" fillId="4" borderId="6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178" fontId="0" fillId="4" borderId="1" xfId="0" applyNumberFormat="1" applyFill="1" applyBorder="1" applyAlignment="1">
      <alignment/>
    </xf>
    <xf numFmtId="49" fontId="0" fillId="0" borderId="6" xfId="0" applyNumberFormat="1" applyBorder="1" applyAlignment="1" quotePrefix="1">
      <alignment horizontal="left"/>
    </xf>
    <xf numFmtId="0" fontId="0" fillId="0" borderId="7" xfId="0" applyBorder="1" applyAlignment="1">
      <alignment/>
    </xf>
    <xf numFmtId="0" fontId="3" fillId="0" borderId="3" xfId="0" applyFont="1" applyBorder="1" applyAlignment="1">
      <alignment horizontal="center" vertical="center"/>
    </xf>
    <xf numFmtId="165" fontId="0" fillId="3" borderId="0" xfId="0" applyNumberFormat="1" applyFill="1" applyBorder="1" applyAlignment="1">
      <alignment/>
    </xf>
    <xf numFmtId="11" fontId="0" fillId="0" borderId="2" xfId="0" applyNumberFormat="1" applyFill="1" applyBorder="1" applyAlignment="1">
      <alignment/>
    </xf>
    <xf numFmtId="164" fontId="0" fillId="0" borderId="2" xfId="0" applyNumberFormat="1" applyFont="1" applyBorder="1" applyAlignment="1">
      <alignment/>
    </xf>
    <xf numFmtId="1" fontId="0" fillId="0" borderId="1" xfId="0" applyNumberFormat="1" applyFont="1" applyBorder="1" applyAlignment="1" applyProtection="1">
      <alignment/>
      <protection/>
    </xf>
    <xf numFmtId="1" fontId="34" fillId="0" borderId="1" xfId="0" applyNumberFormat="1" applyFont="1" applyBorder="1" applyAlignment="1" applyProtection="1">
      <alignment/>
      <protection/>
    </xf>
    <xf numFmtId="0" fontId="15" fillId="0" borderId="1" xfId="0" applyFont="1" applyBorder="1" applyAlignment="1" quotePrefix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Border="1" applyAlignment="1">
      <alignment/>
    </xf>
    <xf numFmtId="173" fontId="0" fillId="0" borderId="0" xfId="0" applyNumberFormat="1" applyBorder="1" applyAlignment="1" applyProtection="1">
      <alignment/>
      <protection hidden="1"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177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70" fontId="0" fillId="0" borderId="17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 horizontal="left"/>
    </xf>
    <xf numFmtId="165" fontId="0" fillId="0" borderId="19" xfId="0" applyNumberFormat="1" applyFill="1" applyBorder="1" applyAlignment="1">
      <alignment/>
    </xf>
    <xf numFmtId="170" fontId="0" fillId="0" borderId="19" xfId="0" applyNumberFormat="1" applyFill="1" applyBorder="1" applyAlignment="1">
      <alignment/>
    </xf>
    <xf numFmtId="173" fontId="0" fillId="0" borderId="18" xfId="0" applyNumberFormat="1" applyFill="1" applyBorder="1" applyAlignment="1" applyProtection="1">
      <alignment/>
      <protection hidden="1"/>
    </xf>
    <xf numFmtId="11" fontId="0" fillId="0" borderId="17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81" fontId="0" fillId="0" borderId="20" xfId="0" applyNumberFormat="1" applyFill="1" applyBorder="1" applyAlignment="1">
      <alignment/>
    </xf>
    <xf numFmtId="171" fontId="0" fillId="0" borderId="17" xfId="0" applyNumberFormat="1" applyFill="1" applyBorder="1" applyAlignment="1">
      <alignment/>
    </xf>
    <xf numFmtId="171" fontId="0" fillId="0" borderId="17" xfId="0" applyNumberFormat="1" applyFill="1" applyBorder="1" applyAlignment="1">
      <alignment/>
    </xf>
    <xf numFmtId="171" fontId="0" fillId="0" borderId="19" xfId="0" applyNumberFormat="1" applyFill="1" applyBorder="1" applyAlignment="1">
      <alignment/>
    </xf>
    <xf numFmtId="11" fontId="0" fillId="0" borderId="19" xfId="0" applyNumberFormat="1" applyFill="1" applyBorder="1" applyAlignment="1">
      <alignment/>
    </xf>
    <xf numFmtId="171" fontId="0" fillId="0" borderId="19" xfId="0" applyNumberFormat="1" applyFill="1" applyBorder="1" applyAlignment="1">
      <alignment/>
    </xf>
    <xf numFmtId="171" fontId="0" fillId="0" borderId="18" xfId="0" applyNumberFormat="1" applyFill="1" applyBorder="1" applyAlignment="1">
      <alignment/>
    </xf>
    <xf numFmtId="171" fontId="0" fillId="0" borderId="21" xfId="0" applyNumberFormat="1" applyFill="1" applyBorder="1" applyAlignment="1">
      <alignment/>
    </xf>
    <xf numFmtId="1" fontId="34" fillId="0" borderId="18" xfId="0" applyNumberFormat="1" applyFont="1" applyFill="1" applyBorder="1" applyAlignment="1" applyProtection="1">
      <alignment/>
      <protection/>
    </xf>
    <xf numFmtId="4" fontId="34" fillId="0" borderId="19" xfId="0" applyNumberFormat="1" applyFont="1" applyFill="1" applyBorder="1" applyAlignment="1">
      <alignment/>
    </xf>
    <xf numFmtId="164" fontId="34" fillId="0" borderId="19" xfId="0" applyNumberFormat="1" applyFont="1" applyFill="1" applyBorder="1" applyAlignment="1">
      <alignment/>
    </xf>
    <xf numFmtId="164" fontId="34" fillId="0" borderId="17" xfId="0" applyNumberFormat="1" applyFont="1" applyFill="1" applyBorder="1" applyAlignment="1">
      <alignment/>
    </xf>
    <xf numFmtId="164" fontId="0" fillId="0" borderId="18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166" fontId="0" fillId="0" borderId="3" xfId="0" applyNumberFormat="1" applyBorder="1" applyAlignment="1">
      <alignment/>
    </xf>
    <xf numFmtId="166" fontId="0" fillId="0" borderId="6" xfId="0" applyNumberFormat="1" applyBorder="1" applyAlignment="1">
      <alignment/>
    </xf>
    <xf numFmtId="166" fontId="0" fillId="0" borderId="18" xfId="0" applyNumberFormat="1" applyFill="1" applyBorder="1" applyAlignment="1">
      <alignment/>
    </xf>
    <xf numFmtId="171" fontId="0" fillId="0" borderId="7" xfId="0" applyNumberFormat="1" applyBorder="1" applyAlignment="1">
      <alignment/>
    </xf>
    <xf numFmtId="171" fontId="0" fillId="0" borderId="5" xfId="0" applyNumberFormat="1" applyBorder="1" applyAlignment="1">
      <alignment/>
    </xf>
    <xf numFmtId="0" fontId="0" fillId="0" borderId="0" xfId="0" applyBorder="1" applyAlignment="1" quotePrefix="1">
      <alignment horizontal="left"/>
    </xf>
    <xf numFmtId="165" fontId="0" fillId="4" borderId="12" xfId="0" applyNumberFormat="1" applyFill="1" applyBorder="1" applyAlignment="1" applyProtection="1" quotePrefix="1">
      <alignment horizontal="left"/>
      <protection/>
    </xf>
    <xf numFmtId="0" fontId="26" fillId="0" borderId="0" xfId="0" applyFont="1" applyAlignment="1" quotePrefix="1">
      <alignment horizontal="center" vertical="center"/>
    </xf>
    <xf numFmtId="0" fontId="26" fillId="0" borderId="0" xfId="0" applyFont="1" applyAlignment="1">
      <alignment horizontal="center" vertical="center"/>
    </xf>
    <xf numFmtId="0" fontId="15" fillId="0" borderId="0" xfId="0" applyFont="1" applyFill="1" applyBorder="1" applyAlignment="1" quotePrefix="1">
      <alignment horizontal="center"/>
    </xf>
    <xf numFmtId="0" fontId="15" fillId="0" borderId="0" xfId="0" applyFont="1" applyFill="1" applyBorder="1" applyAlignment="1" quotePrefix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11" fillId="0" borderId="0" xfId="0" applyFont="1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/>
    </xf>
    <xf numFmtId="0" fontId="3" fillId="0" borderId="9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0" fillId="0" borderId="6" xfId="0" applyNumberFormat="1" applyBorder="1" applyAlignment="1" applyProtection="1" quotePrefix="1">
      <alignment horizontal="left"/>
      <protection hidden="1"/>
    </xf>
    <xf numFmtId="49" fontId="0" fillId="0" borderId="8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11" fillId="0" borderId="0" xfId="0" applyFont="1" applyAlignment="1" quotePrefix="1">
      <alignment horizontal="center" vertical="center"/>
    </xf>
    <xf numFmtId="0" fontId="26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 quotePrefix="1">
      <alignment horizontal="center"/>
    </xf>
    <xf numFmtId="0" fontId="26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0" fillId="0" borderId="8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left"/>
    </xf>
    <xf numFmtId="0" fontId="26" fillId="0" borderId="8" xfId="0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 quotePrefix="1">
      <alignment horizontal="left" vertical="center"/>
    </xf>
    <xf numFmtId="0" fontId="26" fillId="0" borderId="8" xfId="0" applyFont="1" applyBorder="1" applyAlignment="1">
      <alignment horizontal="center" vertical="center"/>
    </xf>
    <xf numFmtId="0" fontId="0" fillId="0" borderId="0" xfId="0" applyFont="1" applyAlignment="1" quotePrefix="1">
      <alignment horizontal="left" vertical="center" wrapText="1"/>
    </xf>
    <xf numFmtId="49" fontId="0" fillId="0" borderId="3" xfId="0" applyNumberFormat="1" applyBorder="1" applyAlignment="1" quotePrefix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1" fontId="0" fillId="3" borderId="12" xfId="0" applyNumberFormat="1" applyFill="1" applyBorder="1" applyAlignment="1">
      <alignment horizontal="left"/>
    </xf>
    <xf numFmtId="2" fontId="0" fillId="5" borderId="1" xfId="0" applyNumberFormat="1" applyFill="1" applyBorder="1" applyAlignment="1">
      <alignment horizontal="left"/>
    </xf>
    <xf numFmtId="2" fontId="0" fillId="3" borderId="12" xfId="0" applyNumberFormat="1" applyFill="1" applyBorder="1" applyAlignment="1" applyProtection="1">
      <alignment horizontal="left"/>
      <protection locked="0"/>
    </xf>
    <xf numFmtId="2" fontId="0" fillId="3" borderId="12" xfId="0" applyNumberFormat="1" applyFill="1" applyBorder="1" applyAlignment="1">
      <alignment horizontal="left"/>
    </xf>
    <xf numFmtId="0" fontId="7" fillId="0" borderId="1" xfId="0" applyFont="1" applyFill="1" applyBorder="1" applyAlignment="1" quotePrefix="1">
      <alignment horizontal="right"/>
    </xf>
    <xf numFmtId="2" fontId="0" fillId="0" borderId="4" xfId="0" applyNumberFormat="1" applyFill="1" applyBorder="1" applyAlignment="1" quotePrefix="1">
      <alignment horizontal="left" vertical="center"/>
    </xf>
    <xf numFmtId="2" fontId="0" fillId="0" borderId="4" xfId="0" applyNumberFormat="1" applyFill="1" applyBorder="1" applyAlignment="1">
      <alignment horizontal="left" vertical="center"/>
    </xf>
    <xf numFmtId="2" fontId="0" fillId="0" borderId="0" xfId="0" applyNumberFormat="1" applyFill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49" fontId="0" fillId="0" borderId="18" xfId="0" applyNumberFormat="1" applyFill="1" applyBorder="1" applyAlignment="1" quotePrefix="1">
      <alignment horizontal="left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0" borderId="3" xfId="0" applyFont="1" applyBorder="1" applyAlignment="1" quotePrefix="1">
      <alignment horizontal="right" vertical="center"/>
    </xf>
    <xf numFmtId="168" fontId="0" fillId="0" borderId="4" xfId="0" applyNumberFormat="1" applyFill="1" applyBorder="1" applyAlignment="1">
      <alignment vertical="center"/>
    </xf>
    <xf numFmtId="0" fontId="11" fillId="0" borderId="1" xfId="0" applyFont="1" applyBorder="1" applyAlignment="1" quotePrefix="1">
      <alignment horizontal="right" vertical="center"/>
    </xf>
    <xf numFmtId="2" fontId="0" fillId="3" borderId="0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 quotePrefix="1">
      <alignment horizontal="right" vertical="center"/>
    </xf>
    <xf numFmtId="2" fontId="0" fillId="4" borderId="0" xfId="0" applyNumberFormat="1" applyFill="1" applyBorder="1" applyAlignment="1" applyProtection="1">
      <alignment vertical="center"/>
      <protection/>
    </xf>
    <xf numFmtId="3" fontId="0" fillId="3" borderId="0" xfId="0" applyNumberFormat="1" applyFill="1" applyBorder="1" applyAlignment="1" applyProtection="1">
      <alignment vertical="center"/>
      <protection/>
    </xf>
    <xf numFmtId="3" fontId="0" fillId="3" borderId="0" xfId="0" applyNumberFormat="1" applyFill="1" applyBorder="1" applyAlignment="1" applyProtection="1">
      <alignment vertical="center"/>
      <protection locked="0"/>
    </xf>
    <xf numFmtId="164" fontId="0" fillId="4" borderId="0" xfId="0" applyNumberFormat="1" applyFill="1" applyAlignment="1">
      <alignment vertical="center"/>
    </xf>
    <xf numFmtId="0" fontId="0" fillId="0" borderId="6" xfId="0" applyFill="1" applyBorder="1" applyAlignment="1">
      <alignment horizontal="center" vertical="center"/>
    </xf>
    <xf numFmtId="11" fontId="0" fillId="3" borderId="8" xfId="0" applyNumberFormat="1" applyFill="1" applyBorder="1" applyAlignment="1" applyProtection="1">
      <alignment vertical="center"/>
      <protection locked="0"/>
    </xf>
    <xf numFmtId="170" fontId="0" fillId="0" borderId="0" xfId="0" applyNumberFormat="1" applyBorder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26" fillId="0" borderId="0" xfId="0" applyFont="1" applyBorder="1" applyAlignment="1">
      <alignment horizontal="center" vertical="center"/>
    </xf>
    <xf numFmtId="0" fontId="7" fillId="0" borderId="8" xfId="0" applyFont="1" applyFill="1" applyBorder="1" applyAlignment="1" quotePrefix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9" fontId="0" fillId="0" borderId="18" xfId="0" applyNumberFormat="1" applyBorder="1" applyAlignment="1" quotePrefix="1">
      <alignment horizontal="left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3" fillId="0" borderId="3" xfId="0" applyFont="1" applyBorder="1" applyAlignment="1" quotePrefix="1">
      <alignment horizontal="left" vertical="center"/>
    </xf>
    <xf numFmtId="0" fontId="0" fillId="0" borderId="4" xfId="0" applyBorder="1" applyAlignment="1">
      <alignment vertical="center"/>
    </xf>
    <xf numFmtId="49" fontId="0" fillId="0" borderId="6" xfId="0" applyNumberFormat="1" applyBorder="1" applyAlignment="1" quotePrefix="1">
      <alignment horizontal="left"/>
    </xf>
    <xf numFmtId="49" fontId="0" fillId="0" borderId="16" xfId="0" applyNumberFormat="1" applyBorder="1" applyAlignment="1" quotePrefix="1">
      <alignment horizontal="left"/>
    </xf>
    <xf numFmtId="0" fontId="0" fillId="0" borderId="16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18" xfId="0" applyBorder="1" applyAlignment="1" quotePrefix="1">
      <alignment horizontal="left"/>
    </xf>
    <xf numFmtId="0" fontId="3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 quotePrefix="1">
      <alignment horizontal="center" vertical="center"/>
    </xf>
    <xf numFmtId="49" fontId="0" fillId="0" borderId="11" xfId="0" applyNumberFormat="1" applyBorder="1" applyAlignment="1" quotePrefix="1">
      <alignment horizontal="left"/>
    </xf>
    <xf numFmtId="0" fontId="0" fillId="0" borderId="11" xfId="0" applyBorder="1" applyAlignment="1">
      <alignment/>
    </xf>
    <xf numFmtId="0" fontId="3" fillId="0" borderId="18" xfId="0" applyFont="1" applyFill="1" applyBorder="1" applyAlignment="1" quotePrefix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0" fillId="0" borderId="0" xfId="0" applyNumberFormat="1" applyFill="1" applyBorder="1" applyAlignment="1" quotePrefix="1">
      <alignment horizontal="left" vertical="center"/>
    </xf>
    <xf numFmtId="0" fontId="0" fillId="0" borderId="2" xfId="0" applyBorder="1" applyAlignment="1">
      <alignment horizontal="left" vertical="center"/>
    </xf>
    <xf numFmtId="2" fontId="0" fillId="0" borderId="8" xfId="0" applyNumberFormat="1" applyFill="1" applyBorder="1" applyAlignment="1" quotePrefix="1">
      <alignment horizontal="left" vertical="center"/>
    </xf>
    <xf numFmtId="0" fontId="0" fillId="0" borderId="7" xfId="0" applyBorder="1" applyAlignment="1">
      <alignment vertical="center"/>
    </xf>
    <xf numFmtId="0" fontId="3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1/B - V / m/s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/>
            </c:numRef>
          </c:xVal>
          <c:yVal>
            <c:numRef>
              <c:f>Control!$Q$14:$Q$88</c:f>
              <c:numCache>
                <c:ptCount val="75"/>
                <c:pt idx="0">
                  <c:v>2.1898362151913937</c:v>
                </c:pt>
                <c:pt idx="1">
                  <c:v>3.290085167001137</c:v>
                </c:pt>
                <c:pt idx="2">
                  <c:v>4.396713354074445</c:v>
                </c:pt>
                <c:pt idx="3">
                  <c:v>6.6374709180821325</c:v>
                </c:pt>
                <c:pt idx="4">
                  <c:v>8.928556235612351</c:v>
                </c:pt>
                <c:pt idx="5">
                  <c:v>11.285853880886016</c:v>
                </c:pt>
                <c:pt idx="6">
                  <c:v>13.72454262867523</c:v>
                </c:pt>
                <c:pt idx="7">
                  <c:v>16.25898459208984</c:v>
                </c:pt>
                <c:pt idx="8">
                  <c:v>18.902648317993812</c:v>
                </c:pt>
                <c:pt idx="9">
                  <c:v>21.668064985424277</c:v>
                </c:pt>
                <c:pt idx="10">
                  <c:v>24.566814753863913</c:v>
                </c:pt>
                <c:pt idx="11">
                  <c:v>41.40237132040935</c:v>
                </c:pt>
                <c:pt idx="12">
                  <c:v>62.82496486154347</c:v>
                </c:pt>
                <c:pt idx="13">
                  <c:v>121.83520658784508</c:v>
                </c:pt>
                <c:pt idx="14">
                  <c:v>204.82570501668545</c:v>
                </c:pt>
                <c:pt idx="15">
                  <c:v>313.64905495235615</c:v>
                </c:pt>
                <c:pt idx="16">
                  <c:v>448.85994826598983</c:v>
                </c:pt>
                <c:pt idx="17">
                  <c:v>608.6621358168768</c:v>
                </c:pt>
                <c:pt idx="18">
                  <c:v>787.4743411640859</c:v>
                </c:pt>
                <c:pt idx="19">
                  <c:v>975.0885578135753</c:v>
                </c:pt>
                <c:pt idx="20">
                  <c:v>1157.7239782345298</c:v>
                </c:pt>
                <c:pt idx="21">
                  <c:v>1321.4749611245345</c:v>
                </c:pt>
                <c:pt idx="22">
                  <c:v>1456.5571085457864</c:v>
                </c:pt>
                <c:pt idx="23">
                  <c:v>1559.6005122954887</c:v>
                </c:pt>
                <c:pt idx="24">
                  <c:v>1632.8616343053657</c:v>
                </c:pt>
                <c:pt idx="25">
                  <c:v>1681.6835091522832</c:v>
                </c:pt>
                <c:pt idx="26">
                  <c:v>1739.327090887128</c:v>
                </c:pt>
                <c:pt idx="27">
                  <c:v>1686.3672844435955</c:v>
                </c:pt>
                <c:pt idx="28">
                  <c:v>1651.7718543788976</c:v>
                </c:pt>
                <c:pt idx="29">
                  <c:v>1633.5617904439018</c:v>
                </c:pt>
                <c:pt idx="30">
                  <c:v>1623.1628064849888</c:v>
                </c:pt>
                <c:pt idx="31">
                  <c:v>1616.7332015786756</c:v>
                </c:pt>
                <c:pt idx="32">
                  <c:v>1612.4990569730635</c:v>
                </c:pt>
                <c:pt idx="33">
                  <c:v>1609.5692388576426</c:v>
                </c:pt>
                <c:pt idx="34">
                  <c:v>1607.4604276000687</c:v>
                </c:pt>
                <c:pt idx="35">
                  <c:v>1602.4232540423704</c:v>
                </c:pt>
                <c:pt idx="36">
                  <c:v>1600.6464029420872</c:v>
                </c:pt>
                <c:pt idx="37">
                  <c:v>1599.3729566721988</c:v>
                </c:pt>
                <c:pt idx="38">
                  <c:v>1598.9264707470588</c:v>
                </c:pt>
                <c:pt idx="39">
                  <c:v>1598.7197321289043</c:v>
                </c:pt>
                <c:pt idx="40">
                  <c:v>1598.6074624321911</c:v>
                </c:pt>
                <c:pt idx="41">
                  <c:v>1598.5398287967214</c:v>
                </c:pt>
                <c:pt idx="42">
                  <c:v>1598.496003608534</c:v>
                </c:pt>
                <c:pt idx="43">
                  <c:v>1598.4660335487968</c:v>
                </c:pt>
                <c:pt idx="44">
                  <c:v>1598.4446751522441</c:v>
                </c:pt>
                <c:pt idx="45">
                  <c:v>1598.395023683158</c:v>
                </c:pt>
                <c:pt idx="46">
                  <c:v>1598.3791836035102</c:v>
                </c:pt>
                <c:pt idx="47">
                  <c:v>1598.3722667333793</c:v>
                </c:pt>
                <c:pt idx="48">
                  <c:v>1598.3760027684664</c:v>
                </c:pt>
                <c:pt idx="49">
                  <c:v>1598.384487086075</c:v>
                </c:pt>
                <c:pt idx="50">
                  <c:v>1598.3962626261323</c:v>
                </c:pt>
                <c:pt idx="51">
                  <c:v>1598.4108300919454</c:v>
                </c:pt>
                <c:pt idx="52">
                  <c:v>1598.4279808769047</c:v>
                </c:pt>
                <c:pt idx="53">
                  <c:v>1598.4476152778327</c:v>
                </c:pt>
                <c:pt idx="54">
                  <c:v>1598.4696807349494</c:v>
                </c:pt>
                <c:pt idx="55">
                  <c:v>1598.6157493561218</c:v>
                </c:pt>
                <c:pt idx="56">
                  <c:v>1598.8207596584298</c:v>
                </c:pt>
                <c:pt idx="57">
                  <c:v>1599.406741764773</c:v>
                </c:pt>
                <c:pt idx="58">
                  <c:v>1600.2268902662304</c:v>
                </c:pt>
                <c:pt idx="59">
                  <c:v>1601.2807864137778</c:v>
                </c:pt>
                <c:pt idx="60">
                  <c:v>1602.5679545171247</c:v>
                </c:pt>
                <c:pt idx="61">
                  <c:v>1604.0878280485426</c:v>
                </c:pt>
                <c:pt idx="62">
                  <c:v>1605.8397441888</c:v>
                </c:pt>
                <c:pt idx="63">
                  <c:v>1607.8229434327982</c:v>
                </c:pt>
                <c:pt idx="64">
                  <c:v>1610.0365705951779</c:v>
                </c:pt>
                <c:pt idx="65">
                  <c:v>1624.5247178559775</c:v>
                </c:pt>
                <c:pt idx="66">
                  <c:v>1644.5937177506553</c:v>
                </c:pt>
                <c:pt idx="67">
                  <c:v>1700.629224386115</c:v>
                </c:pt>
                <c:pt idx="68">
                  <c:v>1776.111350801487</c:v>
                </c:pt>
                <c:pt idx="69">
                  <c:v>1868.6850482107873</c:v>
                </c:pt>
                <c:pt idx="70">
                  <c:v>1975.94954268887</c:v>
                </c:pt>
                <c:pt idx="71">
                  <c:v>2095.6502303160423</c:v>
                </c:pt>
                <c:pt idx="72">
                  <c:v>2225.781590150746</c:v>
                </c:pt>
                <c:pt idx="73">
                  <c:v>2364.6221670514765</c:v>
                </c:pt>
                <c:pt idx="74">
                  <c:v>2510.7275450312623</c:v>
                </c:pt>
              </c:numCache>
            </c:numRef>
          </c:yVal>
          <c:smooth val="1"/>
        </c:ser>
        <c:ser>
          <c:idx val="2"/>
          <c:order val="1"/>
          <c:tx>
            <c:v>CLTF - V / m/s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/>
            </c:numRef>
          </c:xVal>
          <c:yVal>
            <c:numRef>
              <c:f>Control!$AH$14:$AH$88</c:f>
              <c:numCache>
                <c:ptCount val="75"/>
                <c:pt idx="0">
                  <c:v>2.0066030582472805</c:v>
                </c:pt>
                <c:pt idx="1">
                  <c:v>3.0146255614328914</c:v>
                </c:pt>
                <c:pt idx="2">
                  <c:v>4.028295775289274</c:v>
                </c:pt>
                <c:pt idx="3">
                  <c:v>6.079969949679774</c:v>
                </c:pt>
                <c:pt idx="4">
                  <c:v>8.176131781866674</c:v>
                </c:pt>
                <c:pt idx="5">
                  <c:v>10.33073327609968</c:v>
                </c:pt>
                <c:pt idx="6">
                  <c:v>12.557029791222387</c:v>
                </c:pt>
                <c:pt idx="7">
                  <c:v>14.867468186797854</c:v>
                </c:pt>
                <c:pt idx="8">
                  <c:v>17.273607301441807</c:v>
                </c:pt>
                <c:pt idx="9">
                  <c:v>19.786070017152387</c:v>
                </c:pt>
                <c:pt idx="10">
                  <c:v>22.414524177477002</c:v>
                </c:pt>
                <c:pt idx="11">
                  <c:v>37.57040876060374</c:v>
                </c:pt>
                <c:pt idx="12">
                  <c:v>56.5784000740178</c:v>
                </c:pt>
                <c:pt idx="13">
                  <c:v>107.37080330652941</c:v>
                </c:pt>
                <c:pt idx="14">
                  <c:v>175.18190537639677</c:v>
                </c:pt>
                <c:pt idx="15">
                  <c:v>258.4106713578625</c:v>
                </c:pt>
                <c:pt idx="16">
                  <c:v>354.22118552382585</c:v>
                </c:pt>
                <c:pt idx="17">
                  <c:v>458.83942296635695</c:v>
                </c:pt>
                <c:pt idx="18">
                  <c:v>567.9118754931752</c:v>
                </c:pt>
                <c:pt idx="19">
                  <c:v>677.0095555136919</c:v>
                </c:pt>
                <c:pt idx="20">
                  <c:v>782.1751483602501</c:v>
                </c:pt>
                <c:pt idx="21">
                  <c:v>880.3520915934351</c:v>
                </c:pt>
                <c:pt idx="22">
                  <c:v>969.5828413982975</c:v>
                </c:pt>
                <c:pt idx="23">
                  <c:v>1048.9673343754353</c:v>
                </c:pt>
                <c:pt idx="24">
                  <c:v>1118.4574629927959</c:v>
                </c:pt>
                <c:pt idx="25">
                  <c:v>1178.5893634371523</c:v>
                </c:pt>
                <c:pt idx="26">
                  <c:v>1371.8295247153349</c:v>
                </c:pt>
                <c:pt idx="27">
                  <c:v>1507.676201492873</c:v>
                </c:pt>
                <c:pt idx="28">
                  <c:v>1549.3884442416922</c:v>
                </c:pt>
                <c:pt idx="29">
                  <c:v>1566.9553082018406</c:v>
                </c:pt>
                <c:pt idx="30">
                  <c:v>1575.9549288721923</c:v>
                </c:pt>
                <c:pt idx="31">
                  <c:v>1581.1826091198793</c:v>
                </c:pt>
                <c:pt idx="32">
                  <c:v>1584.4921445185287</c:v>
                </c:pt>
                <c:pt idx="33">
                  <c:v>1586.7221202658138</c:v>
                </c:pt>
                <c:pt idx="34">
                  <c:v>1588.2972688303441</c:v>
                </c:pt>
                <c:pt idx="35">
                  <c:v>1591.9579088167452</c:v>
                </c:pt>
                <c:pt idx="36">
                  <c:v>1593.2109053001577</c:v>
                </c:pt>
                <c:pt idx="37">
                  <c:v>1594.0819996974544</c:v>
                </c:pt>
                <c:pt idx="38">
                  <c:v>1594.3620681653647</c:v>
                </c:pt>
                <c:pt idx="39">
                  <c:v>1594.4657886061661</c:v>
                </c:pt>
                <c:pt idx="40">
                  <c:v>1594.4948423246076</c:v>
                </c:pt>
                <c:pt idx="41">
                  <c:v>1594.4839789584912</c:v>
                </c:pt>
                <c:pt idx="42">
                  <c:v>1594.447695463187</c:v>
                </c:pt>
                <c:pt idx="43">
                  <c:v>1594.392913655495</c:v>
                </c:pt>
                <c:pt idx="44">
                  <c:v>1594.3232792534106</c:v>
                </c:pt>
                <c:pt idx="45">
                  <c:v>1593.8024788374687</c:v>
                </c:pt>
                <c:pt idx="46">
                  <c:v>1593.0371196054666</c:v>
                </c:pt>
                <c:pt idx="47">
                  <c:v>1590.8300130057653</c:v>
                </c:pt>
                <c:pt idx="48">
                  <c:v>1587.7461109278697</c:v>
                </c:pt>
                <c:pt idx="49">
                  <c:v>1583.804598895646</c:v>
                </c:pt>
                <c:pt idx="50">
                  <c:v>1579.025540058224</c:v>
                </c:pt>
                <c:pt idx="51">
                  <c:v>1573.4320419026558</c:v>
                </c:pt>
                <c:pt idx="52">
                  <c:v>1567.050424422292</c:v>
                </c:pt>
                <c:pt idx="53">
                  <c:v>1559.910016922926</c:v>
                </c:pt>
                <c:pt idx="54">
                  <c:v>1552.0428443826402</c:v>
                </c:pt>
                <c:pt idx="55">
                  <c:v>1503.0686013330605</c:v>
                </c:pt>
                <c:pt idx="56">
                  <c:v>1441.628977267276</c:v>
                </c:pt>
                <c:pt idx="57">
                  <c:v>1300.2141218153308</c:v>
                </c:pt>
                <c:pt idx="58">
                  <c:v>1157.2644209590164</c:v>
                </c:pt>
                <c:pt idx="59">
                  <c:v>1027.4390235404378</c:v>
                </c:pt>
                <c:pt idx="60">
                  <c:v>915.0741698321943</c:v>
                </c:pt>
                <c:pt idx="61">
                  <c:v>819.6453493592865</c:v>
                </c:pt>
                <c:pt idx="62">
                  <c:v>738.9532271578028</c:v>
                </c:pt>
                <c:pt idx="63">
                  <c:v>670.533080296144</c:v>
                </c:pt>
                <c:pt idx="64">
                  <c:v>612.1635115688625</c:v>
                </c:pt>
                <c:pt idx="65">
                  <c:v>417.67078533424285</c:v>
                </c:pt>
                <c:pt idx="66">
                  <c:v>309.6491731950168</c:v>
                </c:pt>
                <c:pt idx="67">
                  <c:v>194.46557441915226</c:v>
                </c:pt>
                <c:pt idx="68">
                  <c:v>134.5689309872892</c:v>
                </c:pt>
                <c:pt idx="69">
                  <c:v>98.56428519264254</c:v>
                </c:pt>
                <c:pt idx="70">
                  <c:v>75.0889513725505</c:v>
                </c:pt>
                <c:pt idx="71">
                  <c:v>58.94008070832239</c:v>
                </c:pt>
                <c:pt idx="72">
                  <c:v>47.3825295427805</c:v>
                </c:pt>
                <c:pt idx="73">
                  <c:v>38.84777548764995</c:v>
                </c:pt>
                <c:pt idx="74">
                  <c:v>32.380629555512705</c:v>
                </c:pt>
              </c:numCache>
            </c:numRef>
          </c:yVal>
          <c:smooth val="1"/>
        </c:ser>
        <c:ser>
          <c:idx val="1"/>
          <c:order val="2"/>
          <c:tx>
            <c:v>A - V / m/s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/>
            </c:numRef>
          </c:xVal>
          <c:yVal>
            <c:numRef>
              <c:f>Control!$Y$14:$Y$88</c:f>
              <c:numCache>
                <c:ptCount val="75"/>
                <c:pt idx="0">
                  <c:v>23.962369171240383</c:v>
                </c:pt>
                <c:pt idx="1">
                  <c:v>35.94355551809431</c:v>
                </c:pt>
                <c:pt idx="2">
                  <c:v>47.924743978429014</c:v>
                </c:pt>
                <c:pt idx="3">
                  <c:v>71.88713005751856</c:v>
                </c:pt>
                <c:pt idx="4">
                  <c:v>95.84953304447056</c:v>
                </c:pt>
                <c:pt idx="5">
                  <c:v>119.81195857525843</c:v>
                </c:pt>
                <c:pt idx="6">
                  <c:v>143.77441228587475</c:v>
                </c:pt>
                <c:pt idx="7">
                  <c:v>167.73689981233252</c:v>
                </c:pt>
                <c:pt idx="8">
                  <c:v>191.69942679067006</c:v>
                </c:pt>
                <c:pt idx="9">
                  <c:v>215.66199885695795</c:v>
                </c:pt>
                <c:pt idx="10">
                  <c:v>239.62462164729882</c:v>
                </c:pt>
                <c:pt idx="11">
                  <c:v>359.43869372642547</c:v>
                </c:pt>
                <c:pt idx="12">
                  <c:v>479.254879349991</c:v>
                </c:pt>
                <c:pt idx="13">
                  <c:v>718.8964095962455</c:v>
                </c:pt>
                <c:pt idx="14">
                  <c:v>958.5548497398397</c:v>
                </c:pt>
                <c:pt idx="15">
                  <c:v>1198.2358384331374</c:v>
                </c:pt>
                <c:pt idx="16">
                  <c:v>1437.9450160602685</c:v>
                </c:pt>
                <c:pt idx="17">
                  <c:v>1677.6880251705982</c:v>
                </c:pt>
                <c:pt idx="18">
                  <c:v>1917.4705109124995</c:v>
                </c:pt>
                <c:pt idx="19">
                  <c:v>2157.298121467559</c:v>
                </c:pt>
                <c:pt idx="20">
                  <c:v>2397.1765084853037</c:v>
                </c:pt>
                <c:pt idx="21">
                  <c:v>2637.111327518377</c:v>
                </c:pt>
                <c:pt idx="22">
                  <c:v>2877.1082384584347</c:v>
                </c:pt>
                <c:pt idx="23">
                  <c:v>3117.1729059726185</c:v>
                </c:pt>
                <c:pt idx="24">
                  <c:v>3357.3109999409476</c:v>
                </c:pt>
                <c:pt idx="25">
                  <c:v>3597.5281958943</c:v>
                </c:pt>
                <c:pt idx="26">
                  <c:v>4799.999799982063</c:v>
                </c:pt>
                <c:pt idx="27">
                  <c:v>7214.160160746632</c:v>
                </c:pt>
                <c:pt idx="28">
                  <c:v>9645.435573565172</c:v>
                </c:pt>
                <c:pt idx="29">
                  <c:v>12099.737309481832</c:v>
                </c:pt>
                <c:pt idx="30">
                  <c:v>14583.157663827209</c:v>
                </c:pt>
                <c:pt idx="31">
                  <c:v>17102.020640444</c:v>
                </c:pt>
                <c:pt idx="32">
                  <c:v>19662.936468983815</c:v>
                </c:pt>
                <c:pt idx="33">
                  <c:v>22272.860947380024</c:v>
                </c:pt>
                <c:pt idx="34">
                  <c:v>24939.16073959607</c:v>
                </c:pt>
                <c:pt idx="35">
                  <c:v>39412.831244311434</c:v>
                </c:pt>
                <c:pt idx="36">
                  <c:v>56796.25688433927</c:v>
                </c:pt>
                <c:pt idx="37">
                  <c:v>110399.73098989094</c:v>
                </c:pt>
                <c:pt idx="38">
                  <c:v>243300.9381207941</c:v>
                </c:pt>
                <c:pt idx="39">
                  <c:v>599059.018065002</c:v>
                </c:pt>
                <c:pt idx="40">
                  <c:v>286860.64764949534</c:v>
                </c:pt>
                <c:pt idx="41">
                  <c:v>167736.47459564515</c:v>
                </c:pt>
                <c:pt idx="42">
                  <c:v>120377.34257451637</c:v>
                </c:pt>
                <c:pt idx="43">
                  <c:v>95057.47728153947</c:v>
                </c:pt>
                <c:pt idx="44">
                  <c:v>79173.7939472502</c:v>
                </c:pt>
                <c:pt idx="45">
                  <c:v>44803.48063097396</c:v>
                </c:pt>
                <c:pt idx="46">
                  <c:v>31904.32129776282</c:v>
                </c:pt>
                <c:pt idx="47">
                  <c:v>20526.879823137555</c:v>
                </c:pt>
                <c:pt idx="48">
                  <c:v>15208.992820649739</c:v>
                </c:pt>
                <c:pt idx="49">
                  <c:v>12099.358184042621</c:v>
                </c:pt>
                <c:pt idx="50">
                  <c:v>10052.271193751421</c:v>
                </c:pt>
                <c:pt idx="51">
                  <c:v>8600.460899791791</c:v>
                </c:pt>
                <c:pt idx="52">
                  <c:v>7516.410880000765</c:v>
                </c:pt>
                <c:pt idx="53">
                  <c:v>6675.728417027329</c:v>
                </c:pt>
                <c:pt idx="54">
                  <c:v>6004.551673932143</c:v>
                </c:pt>
                <c:pt idx="55">
                  <c:v>3996.954258347527</c:v>
                </c:pt>
                <c:pt idx="56">
                  <c:v>2995.6300940114306</c:v>
                </c:pt>
                <c:pt idx="57">
                  <c:v>1995.1581520244001</c:v>
                </c:pt>
                <c:pt idx="58">
                  <c:v>1494.8821963513938</c:v>
                </c:pt>
                <c:pt idx="59">
                  <c:v>1194.4983703977955</c:v>
                </c:pt>
                <c:pt idx="60">
                  <c:v>994.0243376582113</c:v>
                </c:pt>
                <c:pt idx="61">
                  <c:v>850.6328132817658</c:v>
                </c:pt>
                <c:pt idx="62">
                  <c:v>742.9163307405022</c:v>
                </c:pt>
                <c:pt idx="63">
                  <c:v>658.9841051354376</c:v>
                </c:pt>
                <c:pt idx="64">
                  <c:v>591.702692744008</c:v>
                </c:pt>
                <c:pt idx="65">
                  <c:v>388.56824454454573</c:v>
                </c:pt>
                <c:pt idx="66">
                  <c:v>285.5554845570733</c:v>
                </c:pt>
                <c:pt idx="67">
                  <c:v>180.37210999648178</c:v>
                </c:pt>
                <c:pt idx="68">
                  <c:v>126.52368309668799</c:v>
                </c:pt>
                <c:pt idx="69">
                  <c:v>93.93739464056807</c:v>
                </c:pt>
                <c:pt idx="70">
                  <c:v>72.38567658501051</c:v>
                </c:pt>
                <c:pt idx="71">
                  <c:v>57.32850784458513</c:v>
                </c:pt>
                <c:pt idx="72">
                  <c:v>46.399939568873506</c:v>
                </c:pt>
                <c:pt idx="73">
                  <c:v>38.23454012145414</c:v>
                </c:pt>
                <c:pt idx="74">
                  <c:v>31.98892547712797</c:v>
                </c:pt>
              </c:numCache>
            </c:numRef>
          </c:yVal>
          <c:smooth val="1"/>
        </c:ser>
        <c:ser>
          <c:idx val="3"/>
          <c:order val="3"/>
          <c:tx>
            <c:v>Loop Gain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/>
            </c:numRef>
          </c:xVal>
          <c:yVal>
            <c:numRef>
              <c:f>Control!$AA$14:$AA$88</c:f>
              <c:numCache>
                <c:ptCount val="75"/>
                <c:pt idx="0">
                  <c:v>10.9425394488446</c:v>
                </c:pt>
                <c:pt idx="1">
                  <c:v>10.924810056165319</c:v>
                </c:pt>
                <c:pt idx="2">
                  <c:v>10.900129282709997</c:v>
                </c:pt>
                <c:pt idx="3">
                  <c:v>10.830500192728556</c:v>
                </c:pt>
                <c:pt idx="4">
                  <c:v>10.735165968061706</c:v>
                </c:pt>
                <c:pt idx="5">
                  <c:v>10.616118181201616</c:v>
                </c:pt>
                <c:pt idx="6">
                  <c:v>10.475716107688784</c:v>
                </c:pt>
                <c:pt idx="7">
                  <c:v>10.316566748820112</c:v>
                </c:pt>
                <c:pt idx="8">
                  <c:v>10.141405773718361</c:v>
                </c:pt>
                <c:pt idx="9">
                  <c:v>9.952988372613335</c:v>
                </c:pt>
                <c:pt idx="10">
                  <c:v>9.753996358425354</c:v>
                </c:pt>
                <c:pt idx="11">
                  <c:v>8.681596784511706</c:v>
                </c:pt>
                <c:pt idx="12">
                  <c:v>7.628414602478407</c:v>
                </c:pt>
                <c:pt idx="13">
                  <c:v>5.900563800315883</c:v>
                </c:pt>
                <c:pt idx="14">
                  <c:v>4.679856220496127</c:v>
                </c:pt>
                <c:pt idx="15">
                  <c:v>3.820307504561591</c:v>
                </c:pt>
                <c:pt idx="16">
                  <c:v>3.2035493957864944</c:v>
                </c:pt>
                <c:pt idx="17">
                  <c:v>2.7563535275921143</c:v>
                </c:pt>
                <c:pt idx="18">
                  <c:v>2.434962525989098</c:v>
                </c:pt>
                <c:pt idx="19">
                  <c:v>2.2124125077468184</c:v>
                </c:pt>
                <c:pt idx="20">
                  <c:v>2.070594160225368</c:v>
                </c:pt>
                <c:pt idx="21">
                  <c:v>1.9955817590930927</c:v>
                </c:pt>
                <c:pt idx="22">
                  <c:v>1.9752800776420691</c:v>
                </c:pt>
                <c:pt idx="23">
                  <c:v>1.9986995909514225</c:v>
                </c:pt>
                <c:pt idx="24">
                  <c:v>2.0560903198446296</c:v>
                </c:pt>
                <c:pt idx="25">
                  <c:v>2.1392421203605516</c:v>
                </c:pt>
                <c:pt idx="26">
                  <c:v>2.759687827051476</c:v>
                </c:pt>
                <c:pt idx="27">
                  <c:v>4.277929385428567</c:v>
                </c:pt>
                <c:pt idx="28">
                  <c:v>5.839447831729806</c:v>
                </c:pt>
                <c:pt idx="29">
                  <c:v>7.4069664093905265</c:v>
                </c:pt>
                <c:pt idx="30">
                  <c:v>8.984408468185336</c:v>
                </c:pt>
                <c:pt idx="31">
                  <c:v>10.578134118693542</c:v>
                </c:pt>
                <c:pt idx="32">
                  <c:v>12.194076259427144</c:v>
                </c:pt>
                <c:pt idx="33">
                  <c:v>13.83777746845343</c:v>
                </c:pt>
                <c:pt idx="34">
                  <c:v>15.514634333381448</c:v>
                </c:pt>
                <c:pt idx="35">
                  <c:v>24.59576840568575</c:v>
                </c:pt>
                <c:pt idx="36">
                  <c:v>35.48332522407467</c:v>
                </c:pt>
                <c:pt idx="37">
                  <c:v>69.02688364795084</c:v>
                </c:pt>
                <c:pt idx="38">
                  <c:v>152.1651824346351</c:v>
                </c:pt>
                <c:pt idx="39">
                  <c:v>374.7117183993699</c:v>
                </c:pt>
                <c:pt idx="40">
                  <c:v>179.44408142137235</c:v>
                </c:pt>
                <c:pt idx="41">
                  <c:v>104.93105744003051</c:v>
                </c:pt>
                <c:pt idx="42">
                  <c:v>75.30662716876982</c:v>
                </c:pt>
                <c:pt idx="43">
                  <c:v>59.46793693857848</c:v>
                </c:pt>
                <c:pt idx="44">
                  <c:v>49.53176996239122</c:v>
                </c:pt>
                <c:pt idx="45">
                  <c:v>28.030292866987224</c:v>
                </c:pt>
                <c:pt idx="46">
                  <c:v>19.960420922046307</c:v>
                </c:pt>
                <c:pt idx="47">
                  <c:v>12.842364854771102</c:v>
                </c:pt>
                <c:pt idx="48">
                  <c:v>9.51527850412357</c:v>
                </c:pt>
                <c:pt idx="49">
                  <c:v>7.569741999999188</c:v>
                </c:pt>
                <c:pt idx="50">
                  <c:v>6.288973159406513</c:v>
                </c:pt>
                <c:pt idx="51">
                  <c:v>5.380632274180141</c:v>
                </c:pt>
                <c:pt idx="52">
                  <c:v>4.702376941548051</c:v>
                </c:pt>
                <c:pt idx="53">
                  <c:v>4.176382355743942</c:v>
                </c:pt>
                <c:pt idx="54">
                  <c:v>3.75643763926217</c:v>
                </c:pt>
                <c:pt idx="55">
                  <c:v>2.500259527630316</c:v>
                </c:pt>
                <c:pt idx="56">
                  <c:v>1.8736497358537043</c:v>
                </c:pt>
                <c:pt idx="57">
                  <c:v>1.2474363774551582</c:v>
                </c:pt>
                <c:pt idx="58">
                  <c:v>0.9341689015753817</c:v>
                </c:pt>
                <c:pt idx="59">
                  <c:v>0.7459643433760234</c:v>
                </c:pt>
                <c:pt idx="60">
                  <c:v>0.6202696958068931</c:v>
                </c:pt>
                <c:pt idx="61">
                  <c:v>0.5302906726227116</c:v>
                </c:pt>
                <c:pt idx="62">
                  <c:v>0.46263416597388474</c:v>
                </c:pt>
                <c:pt idx="63">
                  <c:v>0.40986111550844456</c:v>
                </c:pt>
                <c:pt idx="64">
                  <c:v>0.3675088526251769</c:v>
                </c:pt>
                <c:pt idx="65">
                  <c:v>0.2391888779983425</c:v>
                </c:pt>
                <c:pt idx="66">
                  <c:v>0.1736328440726582</c:v>
                </c:pt>
                <c:pt idx="67">
                  <c:v>0.10606198424091623</c:v>
                </c:pt>
                <c:pt idx="68">
                  <c:v>0.07123634621196079</c:v>
                </c:pt>
                <c:pt idx="69">
                  <c:v>0.05026924934756153</c:v>
                </c:pt>
                <c:pt idx="70">
                  <c:v>0.036633362857286376</c:v>
                </c:pt>
                <c:pt idx="71">
                  <c:v>0.02735595235085554</c:v>
                </c:pt>
                <c:pt idx="72">
                  <c:v>0.020846582510250247</c:v>
                </c:pt>
                <c:pt idx="73">
                  <c:v>0.01616940780400875</c:v>
                </c:pt>
                <c:pt idx="74">
                  <c:v>0.012740898764756103</c:v>
                </c:pt>
              </c:numCache>
            </c:numRef>
          </c:yVal>
          <c:smooth val="1"/>
        </c:ser>
        <c:ser>
          <c:idx val="4"/>
          <c:order val="4"/>
          <c:tx>
            <c:v>A-1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Control!$A$48:$A$61</c:f>
              <c:numCache/>
            </c:numRef>
          </c:xVal>
          <c:yVal>
            <c:numRef>
              <c:f>Control!$AP$48:$AP$61</c:f>
              <c:numCache>
                <c:ptCount val="14"/>
                <c:pt idx="0">
                  <c:v>23962.36823191576</c:v>
                </c:pt>
                <c:pt idx="1">
                  <c:v>35943.55234787364</c:v>
                </c:pt>
                <c:pt idx="2">
                  <c:v>47924.73646383152</c:v>
                </c:pt>
                <c:pt idx="3">
                  <c:v>71887.10469574729</c:v>
                </c:pt>
                <c:pt idx="4">
                  <c:v>95849.47292766304</c:v>
                </c:pt>
                <c:pt idx="5">
                  <c:v>119811.84115957883</c:v>
                </c:pt>
                <c:pt idx="6">
                  <c:v>143774.20939149457</c:v>
                </c:pt>
                <c:pt idx="7">
                  <c:v>167736.57762341035</c:v>
                </c:pt>
                <c:pt idx="8">
                  <c:v>191698.94585532608</c:v>
                </c:pt>
                <c:pt idx="9">
                  <c:v>215661.31408724183</c:v>
                </c:pt>
                <c:pt idx="10">
                  <c:v>239623.68231915767</c:v>
                </c:pt>
                <c:pt idx="11">
                  <c:v>359435.52347873646</c:v>
                </c:pt>
                <c:pt idx="12">
                  <c:v>479247.36463831534</c:v>
                </c:pt>
                <c:pt idx="13">
                  <c:v>718871.0469574729</c:v>
                </c:pt>
              </c:numCache>
            </c:numRef>
          </c:yVal>
          <c:smooth val="1"/>
        </c:ser>
        <c:ser>
          <c:idx val="5"/>
          <c:order val="5"/>
          <c:tx>
            <c:v>A-2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Control!$A$46:$A$61</c:f>
              <c:numCache/>
            </c:numRef>
          </c:xVal>
          <c:yVal>
            <c:numRef>
              <c:f>Control!$AQ$46:$AQ$61</c:f>
              <c:numCache/>
            </c:numRef>
          </c:yVal>
          <c:smooth val="1"/>
        </c:ser>
        <c:ser>
          <c:idx val="6"/>
          <c:order val="6"/>
          <c:tx>
            <c:v>A-3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Control!$A$24:$A$58</c:f>
              <c:numCache/>
            </c:numRef>
          </c:xVal>
          <c:yVal>
            <c:numRef>
              <c:f>Control!$AR$24:$AR$58</c:f>
              <c:numCache>
                <c:ptCount val="35"/>
                <c:pt idx="0">
                  <c:v>21.869892689974364</c:v>
                </c:pt>
                <c:pt idx="1">
                  <c:v>32.804839034961546</c:v>
                </c:pt>
                <c:pt idx="2">
                  <c:v>43.73978537994873</c:v>
                </c:pt>
                <c:pt idx="3">
                  <c:v>65.60967806992309</c:v>
                </c:pt>
                <c:pt idx="4">
                  <c:v>87.47957075989746</c:v>
                </c:pt>
                <c:pt idx="5">
                  <c:v>109.34946344987182</c:v>
                </c:pt>
                <c:pt idx="6">
                  <c:v>131.21935613984618</c:v>
                </c:pt>
                <c:pt idx="7">
                  <c:v>153.08924882982055</c:v>
                </c:pt>
                <c:pt idx="8">
                  <c:v>174.9591415197949</c:v>
                </c:pt>
                <c:pt idx="9">
                  <c:v>196.82903420976925</c:v>
                </c:pt>
                <c:pt idx="10">
                  <c:v>218.69892689974364</c:v>
                </c:pt>
                <c:pt idx="11">
                  <c:v>240.56881958971795</c:v>
                </c:pt>
                <c:pt idx="12">
                  <c:v>262.43871227969237</c:v>
                </c:pt>
                <c:pt idx="13">
                  <c:v>284.3086049696667</c:v>
                </c:pt>
                <c:pt idx="14">
                  <c:v>306.1784976596411</c:v>
                </c:pt>
                <c:pt idx="15">
                  <c:v>328.04839034961543</c:v>
                </c:pt>
                <c:pt idx="16">
                  <c:v>437.3978537994873</c:v>
                </c:pt>
                <c:pt idx="17">
                  <c:v>656.0967806992309</c:v>
                </c:pt>
                <c:pt idx="18">
                  <c:v>874.7957075989746</c:v>
                </c:pt>
                <c:pt idx="19">
                  <c:v>1093.4946344987181</c:v>
                </c:pt>
                <c:pt idx="20">
                  <c:v>1312.1935613984617</c:v>
                </c:pt>
                <c:pt idx="21">
                  <c:v>1530.8924882982058</c:v>
                </c:pt>
                <c:pt idx="22">
                  <c:v>1749.5914151979491</c:v>
                </c:pt>
                <c:pt idx="23">
                  <c:v>1968.2903420976927</c:v>
                </c:pt>
                <c:pt idx="24">
                  <c:v>2186.9892689974363</c:v>
                </c:pt>
                <c:pt idx="25">
                  <c:v>3280.4839034961547</c:v>
                </c:pt>
                <c:pt idx="26">
                  <c:v>4373.978537994873</c:v>
                </c:pt>
                <c:pt idx="27">
                  <c:v>6560.967806992309</c:v>
                </c:pt>
                <c:pt idx="28">
                  <c:v>8747.957075989745</c:v>
                </c:pt>
                <c:pt idx="29">
                  <c:v>10934.946344987182</c:v>
                </c:pt>
                <c:pt idx="30">
                  <c:v>13121.935613984619</c:v>
                </c:pt>
                <c:pt idx="31">
                  <c:v>15308.924882982054</c:v>
                </c:pt>
                <c:pt idx="32">
                  <c:v>17495.91415197949</c:v>
                </c:pt>
                <c:pt idx="33">
                  <c:v>19682.903420976927</c:v>
                </c:pt>
                <c:pt idx="34">
                  <c:v>21869.892689974364</c:v>
                </c:pt>
              </c:numCache>
            </c:numRef>
          </c:yVal>
          <c:smooth val="1"/>
        </c:ser>
        <c:ser>
          <c:idx val="7"/>
          <c:order val="7"/>
          <c:tx>
            <c:v>A-4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Control!$A$24:$A$48</c:f>
              <c:numCache/>
            </c:numRef>
          </c:xVal>
          <c:yVal>
            <c:numRef>
              <c:f>Control!$AS$24:$AS$48</c:f>
              <c:numCache/>
            </c:numRef>
          </c:yVal>
          <c:smooth val="1"/>
        </c:ser>
        <c:ser>
          <c:idx val="8"/>
          <c:order val="8"/>
          <c:tx>
            <c:v>A-5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Control!$A$14:$A$41</c:f>
              <c:numCache/>
            </c:numRef>
          </c:xVal>
          <c:yVal>
            <c:numRef>
              <c:f>Control!$AT$14:$AT$41</c:f>
              <c:numCache/>
            </c:numRef>
          </c:yVal>
          <c:smooth val="1"/>
        </c:ser>
        <c:ser>
          <c:idx val="9"/>
          <c:order val="9"/>
          <c:tx>
            <c:v>A-5a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Control!$A$80:$A$88</c:f>
              <c:numCache/>
            </c:numRef>
          </c:xVal>
          <c:yVal>
            <c:numRef>
              <c:f>Control!$AT$80:$AT$88</c:f>
              <c:numCache/>
            </c:numRef>
          </c:yVal>
          <c:smooth val="1"/>
        </c:ser>
        <c:axId val="16052164"/>
        <c:axId val="10251749"/>
      </c:scatterChart>
      <c:valAx>
        <c:axId val="1605216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251749"/>
        <c:crossesAt val="0.01"/>
        <c:crossBetween val="midCat"/>
        <c:dispUnits/>
      </c:valAx>
      <c:valAx>
        <c:axId val="10251749"/>
        <c:scaling>
          <c:logBase val="10"/>
          <c:orientation val="minMax"/>
          <c:max val="1000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6052164"/>
        <c:crossesAt val="0.0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215"/>
          <c:w val="0.9985"/>
          <c:h val="0.92975"/>
        </c:manualLayout>
      </c:layout>
      <c:scatterChart>
        <c:scatterStyle val="smooth"/>
        <c:varyColors val="0"/>
        <c:ser>
          <c:idx val="0"/>
          <c:order val="0"/>
          <c:tx>
            <c:v>1/B - V / m/s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Control!$Q$14:$Q$88</c:f>
              <c:numCache>
                <c:ptCount val="75"/>
                <c:pt idx="0">
                  <c:v>2.0908400733634833</c:v>
                </c:pt>
                <c:pt idx="1">
                  <c:v>3.1412632729150776</c:v>
                </c:pt>
                <c:pt idx="2">
                  <c:v>4.197672660579908</c:v>
                </c:pt>
                <c:pt idx="3">
                  <c:v>6.336290750427149</c:v>
                </c:pt>
                <c:pt idx="4">
                  <c:v>8.522098643414434</c:v>
                </c:pt>
                <c:pt idx="5">
                  <c:v>10.76994237667994</c:v>
                </c:pt>
                <c:pt idx="6">
                  <c:v>13.093966899419701</c:v>
                </c:pt>
                <c:pt idx="7">
                  <c:v>15.507504528528269</c:v>
                </c:pt>
                <c:pt idx="8">
                  <c:v>18.022996431601808</c:v>
                </c:pt>
                <c:pt idx="9">
                  <c:v>20.65194633621611</c:v>
                </c:pt>
                <c:pt idx="10">
                  <c:v>23.404903628514788</c:v>
                </c:pt>
                <c:pt idx="11">
                  <c:v>39.334786812907055</c:v>
                </c:pt>
                <c:pt idx="12">
                  <c:v>59.45459486091646</c:v>
                </c:pt>
                <c:pt idx="13">
                  <c:v>114.00483512641333</c:v>
                </c:pt>
                <c:pt idx="14">
                  <c:v>188.62281690843756</c:v>
                </c:pt>
                <c:pt idx="15">
                  <c:v>282.96449296210466</c:v>
                </c:pt>
                <c:pt idx="16">
                  <c:v>395.1599801437471</c:v>
                </c:pt>
                <c:pt idx="17">
                  <c:v>521.6070074922562</c:v>
                </c:pt>
                <c:pt idx="18">
                  <c:v>656.9145307144299</c:v>
                </c:pt>
                <c:pt idx="19">
                  <c:v>794.3720512660948</c:v>
                </c:pt>
                <c:pt idx="20">
                  <c:v>927.0015262944717</c:v>
                </c:pt>
                <c:pt idx="21">
                  <c:v>1048.8520583257064</c:v>
                </c:pt>
                <c:pt idx="22">
                  <c:v>1155.9802131372394</c:v>
                </c:pt>
                <c:pt idx="23">
                  <c:v>1246.7395843095328</c:v>
                </c:pt>
                <c:pt idx="24">
                  <c:v>1321.419943718544</c:v>
                </c:pt>
                <c:pt idx="25">
                  <c:v>1381.564278235245</c:v>
                </c:pt>
                <c:pt idx="26">
                  <c:v>1537.0910535566734</c:v>
                </c:pt>
                <c:pt idx="27">
                  <c:v>1597.5075850532933</c:v>
                </c:pt>
                <c:pt idx="28">
                  <c:v>1603.4577594238958</c:v>
                </c:pt>
                <c:pt idx="29">
                  <c:v>1603.2757465647423</c:v>
                </c:pt>
                <c:pt idx="30">
                  <c:v>1602.3924753697936</c:v>
                </c:pt>
                <c:pt idx="31">
                  <c:v>1601.5938061911586</c:v>
                </c:pt>
                <c:pt idx="32">
                  <c:v>1600.968708894164</c:v>
                </c:pt>
                <c:pt idx="33">
                  <c:v>1600.4917481209052</c:v>
                </c:pt>
                <c:pt idx="34">
                  <c:v>1600.126487302342</c:v>
                </c:pt>
                <c:pt idx="35">
                  <c:v>1599.1814779124113</c:v>
                </c:pt>
                <c:pt idx="36">
                  <c:v>1598.824259305707</c:v>
                </c:pt>
                <c:pt idx="37">
                  <c:v>1598.5607629740357</c:v>
                </c:pt>
                <c:pt idx="38">
                  <c:v>1598.46695219141</c:v>
                </c:pt>
                <c:pt idx="39">
                  <c:v>1598.4233095425252</c:v>
                </c:pt>
                <c:pt idx="40">
                  <c:v>1598.3995974052539</c:v>
                </c:pt>
                <c:pt idx="41">
                  <c:v>1598.385348321309</c:v>
                </c:pt>
                <c:pt idx="42">
                  <c:v>1598.3761665790537</c:v>
                </c:pt>
                <c:pt idx="43">
                  <c:v>1598.3699455943267</c:v>
                </c:pt>
                <c:pt idx="44">
                  <c:v>1598.3655735945686</c:v>
                </c:pt>
                <c:pt idx="45">
                  <c:v>1598.3561491464795</c:v>
                </c:pt>
                <c:pt idx="46">
                  <c:v>1598.3543872168968</c:v>
                </c:pt>
                <c:pt idx="47">
                  <c:v>1598.357525736788</c:v>
                </c:pt>
                <c:pt idx="48">
                  <c:v>1598.3647810512657</c:v>
                </c:pt>
                <c:pt idx="49">
                  <c:v>1598.3748942499</c:v>
                </c:pt>
                <c:pt idx="50">
                  <c:v>1598.3875545804042</c:v>
                </c:pt>
                <c:pt idx="51">
                  <c:v>1598.4026555143766</c:v>
                </c:pt>
                <c:pt idx="52">
                  <c:v>1598.4201525079256</c:v>
                </c:pt>
                <c:pt idx="53">
                  <c:v>1598.4400242350891</c:v>
                </c:pt>
                <c:pt idx="54">
                  <c:v>1598.4622594165407</c:v>
                </c:pt>
                <c:pt idx="55">
                  <c:v>1598.608729622972</c:v>
                </c:pt>
                <c:pt idx="56">
                  <c:v>1598.813879835236</c:v>
                </c:pt>
                <c:pt idx="57">
                  <c:v>1599.3999600356055</c:v>
                </c:pt>
                <c:pt idx="58">
                  <c:v>1600.2201402930018</c:v>
                </c:pt>
                <c:pt idx="59">
                  <c:v>1601.2740483138864</c:v>
                </c:pt>
                <c:pt idx="60">
                  <c:v>1602.561219872569</c:v>
                </c:pt>
                <c:pt idx="61">
                  <c:v>1604.0810923712659</c:v>
                </c:pt>
                <c:pt idx="62">
                  <c:v>1605.8330046341168</c:v>
                </c:pt>
                <c:pt idx="63">
                  <c:v>1607.8161979429638</c:v>
                </c:pt>
                <c:pt idx="64">
                  <c:v>1610.0298175288297</c:v>
                </c:pt>
                <c:pt idx="65">
                  <c:v>1624.5179081090096</c:v>
                </c:pt>
                <c:pt idx="66">
                  <c:v>1644.5868253260733</c:v>
                </c:pt>
                <c:pt idx="67">
                  <c:v>1700.622098188864</c:v>
                </c:pt>
                <c:pt idx="68">
                  <c:v>1776.103908700295</c:v>
                </c:pt>
                <c:pt idx="69">
                  <c:v>1868.677218406099</c:v>
                </c:pt>
                <c:pt idx="70">
                  <c:v>1975.9412635545148</c:v>
                </c:pt>
                <c:pt idx="71">
                  <c:v>2095.6414497114642</c:v>
                </c:pt>
                <c:pt idx="72">
                  <c:v>2225.7722643545417</c:v>
                </c:pt>
                <c:pt idx="73">
                  <c:v>2364.612259562641</c:v>
                </c:pt>
                <c:pt idx="74">
                  <c:v>2510.717025404748</c:v>
                </c:pt>
              </c:numCache>
            </c:numRef>
          </c:yVal>
          <c:smooth val="1"/>
        </c:ser>
        <c:ser>
          <c:idx val="2"/>
          <c:order val="1"/>
          <c:tx>
            <c:v>CLTF - V / m/s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Control!$AH$14:$AH$88</c:f>
              <c:numCache>
                <c:ptCount val="75"/>
                <c:pt idx="0">
                  <c:v>2.089019157395684</c:v>
                </c:pt>
                <c:pt idx="1">
                  <c:v>3.1385266621292103</c:v>
                </c:pt>
                <c:pt idx="2">
                  <c:v>4.194014079483972</c:v>
                </c:pt>
                <c:pt idx="3">
                  <c:v>6.330761104200327</c:v>
                </c:pt>
                <c:pt idx="4">
                  <c:v>8.514648070457582</c:v>
                </c:pt>
                <c:pt idx="5">
                  <c:v>10.760504820030784</c:v>
                </c:pt>
                <c:pt idx="6">
                  <c:v>13.08246043100115</c:v>
                </c:pt>
                <c:pt idx="7">
                  <c:v>15.493831709344638</c:v>
                </c:pt>
                <c:pt idx="8">
                  <c:v>18.00704468475454</c:v>
                </c:pt>
                <c:pt idx="9">
                  <c:v>20.633588310402253</c:v>
                </c:pt>
                <c:pt idx="10">
                  <c:v>23.383997531919135</c:v>
                </c:pt>
                <c:pt idx="11">
                  <c:v>39.298524611663424</c:v>
                </c:pt>
                <c:pt idx="12">
                  <c:v>59.3973505667753</c:v>
                </c:pt>
                <c:pt idx="13">
                  <c:v>113.88115786458285</c:v>
                </c:pt>
                <c:pt idx="14">
                  <c:v>188.38382767984976</c:v>
                </c:pt>
                <c:pt idx="15">
                  <c:v>282.53520067577534</c:v>
                </c:pt>
                <c:pt idx="16">
                  <c:v>394.4331631096033</c:v>
                </c:pt>
                <c:pt idx="17">
                  <c:v>520.4440466668099</c:v>
                </c:pt>
                <c:pt idx="18">
                  <c:v>655.1591247350538</c:v>
                </c:pt>
                <c:pt idx="19">
                  <c:v>791.8781594199135</c:v>
                </c:pt>
                <c:pt idx="20">
                  <c:v>923.6674871525502</c:v>
                </c:pt>
                <c:pt idx="21">
                  <c:v>1044.6456315820153</c:v>
                </c:pt>
                <c:pt idx="22">
                  <c:v>1150.9426106595317</c:v>
                </c:pt>
                <c:pt idx="23">
                  <c:v>1240.968840982725</c:v>
                </c:pt>
                <c:pt idx="24">
                  <c:v>1315.044296671081</c:v>
                </c:pt>
                <c:pt idx="25">
                  <c:v>1374.7173261432295</c:v>
                </c:pt>
                <c:pt idx="26">
                  <c:v>1529.3252486280862</c:v>
                </c:pt>
                <c:pt idx="27">
                  <c:v>1589.9999694738367</c:v>
                </c:pt>
                <c:pt idx="28">
                  <c:v>1596.2821320949301</c:v>
                </c:pt>
                <c:pt idx="29">
                  <c:v>1596.3064151224223</c:v>
                </c:pt>
                <c:pt idx="30">
                  <c:v>1595.5608574584492</c:v>
                </c:pt>
                <c:pt idx="31">
                  <c:v>1594.8655055569573</c:v>
                </c:pt>
                <c:pt idx="32">
                  <c:v>1594.3265092101456</c:v>
                </c:pt>
                <c:pt idx="33">
                  <c:v>1593.927399517067</c:v>
                </c:pt>
                <c:pt idx="34">
                  <c:v>1593.6367004392316</c:v>
                </c:pt>
                <c:pt idx="35">
                  <c:v>1593.0857372277949</c:v>
                </c:pt>
                <c:pt idx="36">
                  <c:v>1593.2179821932123</c:v>
                </c:pt>
                <c:pt idx="37">
                  <c:v>1594.2787062497675</c:v>
                </c:pt>
                <c:pt idx="38">
                  <c:v>1595.9461807557595</c:v>
                </c:pt>
                <c:pt idx="39">
                  <c:v>1598.0386883701115</c:v>
                </c:pt>
                <c:pt idx="40">
                  <c:v>1600.4510002189743</c:v>
                </c:pt>
                <c:pt idx="41">
                  <c:v>1603.0945331305409</c:v>
                </c:pt>
                <c:pt idx="42">
                  <c:v>1605.889406407349</c:v>
                </c:pt>
                <c:pt idx="43">
                  <c:v>1608.7646089403313</c:v>
                </c:pt>
                <c:pt idx="44">
                  <c:v>1611.6591341639771</c:v>
                </c:pt>
                <c:pt idx="45">
                  <c:v>1625.0057772188482</c:v>
                </c:pt>
                <c:pt idx="46">
                  <c:v>1634.9526344202084</c:v>
                </c:pt>
                <c:pt idx="47">
                  <c:v>1645.5456325516182</c:v>
                </c:pt>
                <c:pt idx="48">
                  <c:v>1648.613458029363</c:v>
                </c:pt>
                <c:pt idx="49">
                  <c:v>1647.69510079819</c:v>
                </c:pt>
                <c:pt idx="50">
                  <c:v>1644.3582008721373</c:v>
                </c:pt>
                <c:pt idx="51">
                  <c:v>1639.321224343924</c:v>
                </c:pt>
                <c:pt idx="52">
                  <c:v>1632.9499722123505</c:v>
                </c:pt>
                <c:pt idx="53">
                  <c:v>1625.4545568873243</c:v>
                </c:pt>
                <c:pt idx="54">
                  <c:v>1616.9714583939553</c:v>
                </c:pt>
                <c:pt idx="55">
                  <c:v>1562.6925347018766</c:v>
                </c:pt>
                <c:pt idx="56">
                  <c:v>1494.2348129481534</c:v>
                </c:pt>
                <c:pt idx="57">
                  <c:v>1338.4947839847175</c:v>
                </c:pt>
                <c:pt idx="58">
                  <c:v>1183.981046254085</c:v>
                </c:pt>
                <c:pt idx="59">
                  <c:v>1045.953518576034</c:v>
                </c:pt>
                <c:pt idx="60">
                  <c:v>928.0378826783683</c:v>
                </c:pt>
                <c:pt idx="61">
                  <c:v>828.8842585110099</c:v>
                </c:pt>
                <c:pt idx="62">
                  <c:v>745.6692825549391</c:v>
                </c:pt>
                <c:pt idx="63">
                  <c:v>675.511299676326</c:v>
                </c:pt>
                <c:pt idx="64">
                  <c:v>615.9211250313051</c:v>
                </c:pt>
                <c:pt idx="65">
                  <c:v>418.8106739613622</c:v>
                </c:pt>
                <c:pt idx="66">
                  <c:v>310.0867546113587</c:v>
                </c:pt>
                <c:pt idx="67">
                  <c:v>194.5570661721099</c:v>
                </c:pt>
                <c:pt idx="68">
                  <c:v>134.59259866424836</c:v>
                </c:pt>
                <c:pt idx="69">
                  <c:v>98.57082034396339</c:v>
                </c:pt>
                <c:pt idx="70">
                  <c:v>75.09064216555413</c:v>
                </c:pt>
                <c:pt idx="71">
                  <c:v>58.94035854551986</c:v>
                </c:pt>
                <c:pt idx="72">
                  <c:v>47.38242183391904</c:v>
                </c:pt>
                <c:pt idx="73">
                  <c:v>38.84759436441078</c:v>
                </c:pt>
                <c:pt idx="74">
                  <c:v>32.380463951829</c:v>
                </c:pt>
              </c:numCache>
            </c:numRef>
          </c:yVal>
          <c:smooth val="1"/>
        </c:ser>
        <c:ser>
          <c:idx val="1"/>
          <c:order val="2"/>
          <c:tx>
            <c:v>A - V / m/s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Control!$Y$14:$Y$88</c:f>
              <c:numCache>
                <c:ptCount val="75"/>
                <c:pt idx="0">
                  <c:v>2396.1896234335236</c:v>
                </c:pt>
                <c:pt idx="1">
                  <c:v>3594.195941503431</c:v>
                </c:pt>
                <c:pt idx="2">
                  <c:v>4792.09608187834</c:v>
                </c:pt>
                <c:pt idx="3">
                  <c:v>7187.436378094203</c:v>
                </c:pt>
                <c:pt idx="4">
                  <c:v>9581.927850106076</c:v>
                </c:pt>
                <c:pt idx="5">
                  <c:v>11975.288338258084</c:v>
                </c:pt>
                <c:pt idx="6">
                  <c:v>14367.236351574893</c:v>
                </c:pt>
                <c:pt idx="7">
                  <c:v>16757.49123320175</c:v>
                </c:pt>
                <c:pt idx="8">
                  <c:v>19145.773324697668</c:v>
                </c:pt>
                <c:pt idx="9">
                  <c:v>21531.804128959113</c:v>
                </c:pt>
                <c:pt idx="10">
                  <c:v>23915.306471552798</c:v>
                </c:pt>
                <c:pt idx="11">
                  <c:v>35785.30266494655</c:v>
                </c:pt>
                <c:pt idx="12">
                  <c:v>47551.54446534265</c:v>
                </c:pt>
                <c:pt idx="13">
                  <c:v>70645.68211421889</c:v>
                </c:pt>
                <c:pt idx="14">
                  <c:v>92964.6651476891</c:v>
                </c:pt>
                <c:pt idx="15">
                  <c:v>114315.6440950285</c:v>
                </c:pt>
                <c:pt idx="16">
                  <c:v>134551.65987455</c:v>
                </c:pt>
                <c:pt idx="17">
                  <c:v>153572.81242712412</c:v>
                </c:pt>
                <c:pt idx="18">
                  <c:v>171323.62324233778</c:v>
                </c:pt>
                <c:pt idx="19">
                  <c:v>187787.69458158308</c:v>
                </c:pt>
                <c:pt idx="20">
                  <c:v>202980.85604585204</c:v>
                </c:pt>
                <c:pt idx="21">
                  <c:v>216943.8475741952</c:v>
                </c:pt>
                <c:pt idx="22">
                  <c:v>229735.32367515584</c:v>
                </c:pt>
                <c:pt idx="23">
                  <c:v>241425.67225208643</c:v>
                </c:pt>
                <c:pt idx="24">
                  <c:v>252091.8859416062</c:v>
                </c:pt>
                <c:pt idx="25">
                  <c:v>261813.5333236627</c:v>
                </c:pt>
                <c:pt idx="26">
                  <c:v>298908.5419267823</c:v>
                </c:pt>
                <c:pt idx="27">
                  <c:v>338151.5233641074</c:v>
                </c:pt>
                <c:pt idx="28">
                  <c:v>356702.28003257303</c:v>
                </c:pt>
                <c:pt idx="29">
                  <c:v>367183.6060215905</c:v>
                </c:pt>
                <c:pt idx="30">
                  <c:v>374165.3100633325</c:v>
                </c:pt>
                <c:pt idx="31">
                  <c:v>379528.48201410036</c:v>
                </c:pt>
                <c:pt idx="32">
                  <c:v>384147.32577488327</c:v>
                </c:pt>
                <c:pt idx="33">
                  <c:v>388472.513958167</c:v>
                </c:pt>
                <c:pt idx="34">
                  <c:v>392758.5484512583</c:v>
                </c:pt>
                <c:pt idx="35">
                  <c:v>417691.71988825133</c:v>
                </c:pt>
                <c:pt idx="36">
                  <c:v>454089.37924377614</c:v>
                </c:pt>
                <c:pt idx="37">
                  <c:v>595165.9239974304</c:v>
                </c:pt>
                <c:pt idx="38">
                  <c:v>997380.4506483692</c:v>
                </c:pt>
                <c:pt idx="39">
                  <c:v>1997738.3799593823</c:v>
                </c:pt>
                <c:pt idx="40">
                  <c:v>812911.7984069381</c:v>
                </c:pt>
                <c:pt idx="41">
                  <c:v>416522.4804292457</c:v>
                </c:pt>
                <c:pt idx="42">
                  <c:v>267982.1696987373</c:v>
                </c:pt>
                <c:pt idx="43">
                  <c:v>193083.8677486232</c:v>
                </c:pt>
                <c:pt idx="44">
                  <c:v>148799.02888986646</c:v>
                </c:pt>
                <c:pt idx="45">
                  <c:v>65320.211778701065</c:v>
                </c:pt>
                <c:pt idx="46">
                  <c:v>40772.09962341118</c:v>
                </c:pt>
                <c:pt idx="47">
                  <c:v>23236.316143325246</c:v>
                </c:pt>
                <c:pt idx="48">
                  <c:v>16368.550982361825</c:v>
                </c:pt>
                <c:pt idx="49">
                  <c:v>12697.468083502656</c:v>
                </c:pt>
                <c:pt idx="50">
                  <c:v>10399.872053941694</c:v>
                </c:pt>
                <c:pt idx="51">
                  <c:v>8819.935329512628</c:v>
                </c:pt>
                <c:pt idx="52">
                  <c:v>7663.696826791035</c:v>
                </c:pt>
                <c:pt idx="53">
                  <c:v>6779.295868462486</c:v>
                </c:pt>
                <c:pt idx="54">
                  <c:v>6080.116930197407</c:v>
                </c:pt>
                <c:pt idx="55">
                  <c:v>4019.3877020384834</c:v>
                </c:pt>
                <c:pt idx="56">
                  <c:v>3005.099198304068</c:v>
                </c:pt>
                <c:pt idx="57">
                  <c:v>1997.963561799701</c:v>
                </c:pt>
                <c:pt idx="58">
                  <c:v>1496.064916473499</c:v>
                </c:pt>
                <c:pt idx="59">
                  <c:v>1195.1032965907568</c:v>
                </c:pt>
                <c:pt idx="60">
                  <c:v>994.3739485512508</c:v>
                </c:pt>
                <c:pt idx="61">
                  <c:v>850.8526279933192</c:v>
                </c:pt>
                <c:pt idx="62">
                  <c:v>743.0633193862651</c:v>
                </c:pt>
                <c:pt idx="63">
                  <c:v>659.0871254323553</c:v>
                </c:pt>
                <c:pt idx="64">
                  <c:v>591.7776205255175</c:v>
                </c:pt>
                <c:pt idx="65">
                  <c:v>388.5901140718907</c:v>
                </c:pt>
                <c:pt idx="66">
                  <c:v>285.56452501591275</c:v>
                </c:pt>
                <c:pt idx="67">
                  <c:v>180.37464799085814</c:v>
                </c:pt>
                <c:pt idx="68">
                  <c:v>126.52468451830043</c:v>
                </c:pt>
                <c:pt idx="69">
                  <c:v>93.93787048417359</c:v>
                </c:pt>
                <c:pt idx="70">
                  <c:v>72.38593121890298</c:v>
                </c:pt>
                <c:pt idx="71">
                  <c:v>57.328656007950315</c:v>
                </c:pt>
                <c:pt idx="72">
                  <c:v>46.40003138180347</c:v>
                </c:pt>
                <c:pt idx="73">
                  <c:v>38.23459989889912</c:v>
                </c:pt>
                <c:pt idx="74">
                  <c:v>31.988965987498197</c:v>
                </c:pt>
              </c:numCache>
            </c:numRef>
          </c:yVal>
          <c:smooth val="1"/>
        </c:ser>
        <c:ser>
          <c:idx val="3"/>
          <c:order val="3"/>
          <c:tx>
            <c:v>Loop Gain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Control!$AA$14:$AA$88</c:f>
              <c:numCache>
                <c:ptCount val="75"/>
                <c:pt idx="0">
                  <c:v>1146.041561934883</c:v>
                </c:pt>
                <c:pt idx="1">
                  <c:v>1144.1880636028386</c:v>
                </c:pt>
                <c:pt idx="2">
                  <c:v>1141.6078549622603</c:v>
                </c:pt>
                <c:pt idx="3">
                  <c:v>1134.328688690568</c:v>
                </c:pt>
                <c:pt idx="4">
                  <c:v>1124.3624664577947</c:v>
                </c:pt>
                <c:pt idx="5">
                  <c:v>1111.9175868747536</c:v>
                </c:pt>
                <c:pt idx="6">
                  <c:v>1097.2409249187626</c:v>
                </c:pt>
                <c:pt idx="7">
                  <c:v>1080.6052774238383</c:v>
                </c:pt>
                <c:pt idx="8">
                  <c:v>1062.2969048102993</c:v>
                </c:pt>
                <c:pt idx="9">
                  <c:v>1042.60410996711</c:v>
                </c:pt>
                <c:pt idx="10">
                  <c:v>1021.8075173963191</c:v>
                </c:pt>
                <c:pt idx="11">
                  <c:v>909.7622121395146</c:v>
                </c:pt>
                <c:pt idx="12">
                  <c:v>799.7959548220136</c:v>
                </c:pt>
                <c:pt idx="13">
                  <c:v>619.672683495257</c:v>
                </c:pt>
                <c:pt idx="14">
                  <c:v>492.86012515027016</c:v>
                </c:pt>
                <c:pt idx="15">
                  <c:v>403.99289288334137</c:v>
                </c:pt>
                <c:pt idx="16">
                  <c:v>340.4992069935939</c:v>
                </c:pt>
                <c:pt idx="17">
                  <c:v>294.4224487425122</c:v>
                </c:pt>
                <c:pt idx="18">
                  <c:v>260.80047743199367</c:v>
                </c:pt>
                <c:pt idx="19">
                  <c:v>236.39766062046272</c:v>
                </c:pt>
                <c:pt idx="20">
                  <c:v>218.96496422959808</c:v>
                </c:pt>
                <c:pt idx="21">
                  <c:v>206.83932100062322</c:v>
                </c:pt>
                <c:pt idx="22">
                  <c:v>198.73638066145796</c:v>
                </c:pt>
                <c:pt idx="23">
                  <c:v>193.64563000202844</c:v>
                </c:pt>
                <c:pt idx="24">
                  <c:v>190.77348358479156</c:v>
                </c:pt>
                <c:pt idx="25">
                  <c:v>189.5051409827216</c:v>
                </c:pt>
                <c:pt idx="26">
                  <c:v>194.46378354433705</c:v>
                </c:pt>
                <c:pt idx="27">
                  <c:v>211.67443993877893</c:v>
                </c:pt>
                <c:pt idx="28">
                  <c:v>222.45817074765458</c:v>
                </c:pt>
                <c:pt idx="29">
                  <c:v>229.02086980878764</c:v>
                </c:pt>
                <c:pt idx="30">
                  <c:v>233.50416069383039</c:v>
                </c:pt>
                <c:pt idx="31">
                  <c:v>236.96924934835954</c:v>
                </c:pt>
                <c:pt idx="32">
                  <c:v>239.9468044820349</c:v>
                </c:pt>
                <c:pt idx="33">
                  <c:v>242.7207228117624</c:v>
                </c:pt>
                <c:pt idx="34">
                  <c:v>245.45468846866714</c:v>
                </c:pt>
                <c:pt idx="35">
                  <c:v>261.1909440281358</c:v>
                </c:pt>
                <c:pt idx="36">
                  <c:v>284.01456670476455</c:v>
                </c:pt>
                <c:pt idx="37">
                  <c:v>372.3136072038675</c:v>
                </c:pt>
                <c:pt idx="38">
                  <c:v>623.9606325804964</c:v>
                </c:pt>
                <c:pt idx="39">
                  <c:v>1249.8180976421943</c:v>
                </c:pt>
                <c:pt idx="40">
                  <c:v>508.57858055430614</c:v>
                </c:pt>
                <c:pt idx="41">
                  <c:v>260.58952609062294</c:v>
                </c:pt>
                <c:pt idx="42">
                  <c:v>167.6590125041026</c:v>
                </c:pt>
                <c:pt idx="43">
                  <c:v>120.80048694661126</c:v>
                </c:pt>
                <c:pt idx="44">
                  <c:v>93.09449061470458</c:v>
                </c:pt>
                <c:pt idx="45">
                  <c:v>40.867119517500484</c:v>
                </c:pt>
                <c:pt idx="46">
                  <c:v>25.50879826745108</c:v>
                </c:pt>
                <c:pt idx="47">
                  <c:v>14.537621132427203</c:v>
                </c:pt>
                <c:pt idx="48">
                  <c:v>10.240810593684381</c:v>
                </c:pt>
                <c:pt idx="49">
                  <c:v>7.943986188209891</c:v>
                </c:pt>
                <c:pt idx="50">
                  <c:v>6.506477120732952</c:v>
                </c:pt>
                <c:pt idx="51">
                  <c:v>5.517968391183832</c:v>
                </c:pt>
                <c:pt idx="52">
                  <c:v>4.794544672604805</c:v>
                </c:pt>
                <c:pt idx="53">
                  <c:v>4.241195018691191</c:v>
                </c:pt>
                <c:pt idx="54">
                  <c:v>3.8037287989625246</c:v>
                </c:pt>
                <c:pt idx="55">
                  <c:v>2.514303611357384</c:v>
                </c:pt>
                <c:pt idx="56">
                  <c:v>1.8795803790580992</c:v>
                </c:pt>
                <c:pt idx="57">
                  <c:v>1.2491957057165461</c:v>
                </c:pt>
                <c:pt idx="58">
                  <c:v>0.9349119404281268</c:v>
                </c:pt>
                <c:pt idx="59">
                  <c:v>0.7463452604188394</c:v>
                </c:pt>
                <c:pt idx="60">
                  <c:v>0.6204904600339208</c:v>
                </c:pt>
                <c:pt idx="61">
                  <c:v>0.5304299340225554</c:v>
                </c:pt>
                <c:pt idx="62">
                  <c:v>0.46272764181700815</c:v>
                </c:pt>
                <c:pt idx="63">
                  <c:v>0.4099269097273619</c:v>
                </c:pt>
                <c:pt idx="64">
                  <c:v>0.36755693222738767</c:v>
                </c:pt>
                <c:pt idx="65">
                  <c:v>0.23920334280846534</c:v>
                </c:pt>
                <c:pt idx="66">
                  <c:v>0.1736390688641771</c:v>
                </c:pt>
                <c:pt idx="67">
                  <c:v>0.1060639210692101</c:v>
                </c:pt>
                <c:pt idx="68">
                  <c:v>0.07123720853184083</c:v>
                </c:pt>
                <c:pt idx="69">
                  <c:v>0.050269714618931705</c:v>
                </c:pt>
                <c:pt idx="70">
                  <c:v>0.0366336452171094</c:v>
                </c:pt>
                <c:pt idx="71">
                  <c:v>0.02735613767128127</c:v>
                </c:pt>
                <c:pt idx="72">
                  <c:v>0.02084671110557626</c:v>
                </c:pt>
                <c:pt idx="73">
                  <c:v>0.016169500832229854</c:v>
                </c:pt>
                <c:pt idx="74">
                  <c:v>0.012740968282692595</c:v>
                </c:pt>
              </c:numCache>
            </c:numRef>
          </c:yVal>
          <c:smooth val="1"/>
        </c:ser>
        <c:ser>
          <c:idx val="4"/>
          <c:order val="4"/>
          <c:tx>
            <c:v>Mod. to A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Control!$AV$14:$AV$88</c:f>
              <c:numCache>
                <c:ptCount val="75"/>
                <c:pt idx="0">
                  <c:v>99.99802633495152</c:v>
                </c:pt>
                <c:pt idx="1">
                  <c:v>99.99555941799015</c:v>
                </c:pt>
                <c:pt idx="2">
                  <c:v>99.99210604098937</c:v>
                </c:pt>
                <c:pt idx="3">
                  <c:v>99.98224122097184</c:v>
                </c:pt>
                <c:pt idx="4">
                  <c:v>99.96843537735792</c:v>
                </c:pt>
                <c:pt idx="5">
                  <c:v>99.95069340875492</c:v>
                </c:pt>
                <c:pt idx="6">
                  <c:v>99.92902160509423</c:v>
                </c:pt>
                <c:pt idx="7">
                  <c:v>99.90342764144535</c:v>
                </c:pt>
                <c:pt idx="8">
                  <c:v>99.87392057047869</c:v>
                </c:pt>
                <c:pt idx="9">
                  <c:v>99.84051081359272</c:v>
                </c:pt>
                <c:pt idx="10">
                  <c:v>99.80321015072272</c:v>
                </c:pt>
                <c:pt idx="11">
                  <c:v>99.55884908758117</c:v>
                </c:pt>
                <c:pt idx="12">
                  <c:v>99.21973988003292</c:v>
                </c:pt>
                <c:pt idx="13">
                  <c:v>98.26962712735711</c:v>
                </c:pt>
                <c:pt idx="14">
                  <c:v>96.98418945240385</c:v>
                </c:pt>
                <c:pt idx="15">
                  <c:v>95.40329243073907</c:v>
                </c:pt>
                <c:pt idx="16">
                  <c:v>93.57218695552001</c:v>
                </c:pt>
                <c:pt idx="17">
                  <c:v>91.53836119889328</c:v>
                </c:pt>
                <c:pt idx="18">
                  <c:v>89.34876560933775</c:v>
                </c:pt>
                <c:pt idx="19">
                  <c:v>87.04763273693271</c:v>
                </c:pt>
                <c:pt idx="20">
                  <c:v>84.67497296396768</c:v>
                </c:pt>
                <c:pt idx="21">
                  <c:v>82.26571449994418</c:v>
                </c:pt>
                <c:pt idx="22">
                  <c:v>79.84938508891442</c:v>
                </c:pt>
                <c:pt idx="23">
                  <c:v>77.45020232580161</c:v>
                </c:pt>
                <c:pt idx="24">
                  <c:v>75.0874393066475</c:v>
                </c:pt>
                <c:pt idx="25">
                  <c:v>72.77595033791796</c:v>
                </c:pt>
                <c:pt idx="26">
                  <c:v>62.27261549633807</c:v>
                </c:pt>
                <c:pt idx="27">
                  <c:v>46.87330414481833</c:v>
                </c:pt>
                <c:pt idx="28">
                  <c:v>36.98145898254418</c:v>
                </c:pt>
                <c:pt idx="29">
                  <c:v>30.346411383150457</c:v>
                </c:pt>
                <c:pt idx="30">
                  <c:v>25.65735889912443</c:v>
                </c:pt>
                <c:pt idx="31">
                  <c:v>22.192025725695064</c:v>
                </c:pt>
                <c:pt idx="32">
                  <c:v>19.53662040157811</c:v>
                </c:pt>
                <c:pt idx="33">
                  <c:v>17.44151839657863</c:v>
                </c:pt>
                <c:pt idx="34">
                  <c:v>15.748667429199973</c:v>
                </c:pt>
                <c:pt idx="35">
                  <c:v>10.597861323361235</c:v>
                </c:pt>
                <c:pt idx="36">
                  <c:v>7.995058198438871</c:v>
                </c:pt>
                <c:pt idx="37">
                  <c:v>5.391008824577024</c:v>
                </c:pt>
                <c:pt idx="38">
                  <c:v>4.099369522994558</c:v>
                </c:pt>
                <c:pt idx="39">
                  <c:v>3.3347939346814464</c:v>
                </c:pt>
                <c:pt idx="40">
                  <c:v>2.83382124759129</c:v>
                </c:pt>
                <c:pt idx="41">
                  <c:v>2.483195628341052</c:v>
                </c:pt>
                <c:pt idx="42">
                  <c:v>2.2261844626853233</c:v>
                </c:pt>
                <c:pt idx="43">
                  <c:v>2.031232821135691</c:v>
                </c:pt>
                <c:pt idx="44">
                  <c:v>1.879397480800332</c:v>
                </c:pt>
                <c:pt idx="45">
                  <c:v>1.4579271712551565</c:v>
                </c:pt>
                <c:pt idx="46">
                  <c:v>1.2779491293008685</c:v>
                </c:pt>
                <c:pt idx="47">
                  <c:v>1.1319945526808086</c:v>
                </c:pt>
                <c:pt idx="48">
                  <c:v>1.0762416141151536</c:v>
                </c:pt>
                <c:pt idx="49">
                  <c:v>1.0494331922703843</c:v>
                </c:pt>
                <c:pt idx="50">
                  <c:v>1.0345793357033926</c:v>
                </c:pt>
                <c:pt idx="51">
                  <c:v>1.0255189148904966</c:v>
                </c:pt>
                <c:pt idx="52">
                  <c:v>1.0195952495335456</c:v>
                </c:pt>
                <c:pt idx="53">
                  <c:v>1.0155140300751277</c:v>
                </c:pt>
                <c:pt idx="54">
                  <c:v>1.0125846624975046</c:v>
                </c:pt>
                <c:pt idx="55">
                  <c:v>1.0056126345814707</c:v>
                </c:pt>
                <c:pt idx="56">
                  <c:v>1.003160972481738</c:v>
                </c:pt>
                <c:pt idx="57">
                  <c:v>1.0014061089705903</c:v>
                </c:pt>
                <c:pt idx="58">
                  <c:v>1.0007911794822364</c:v>
                </c:pt>
                <c:pt idx="59">
                  <c:v>1.0005064269721515</c:v>
                </c:pt>
                <c:pt idx="60">
                  <c:v>1.000351712608832</c:v>
                </c:pt>
                <c:pt idx="61">
                  <c:v>1.0002584131579708</c:v>
                </c:pt>
                <c:pt idx="62">
                  <c:v>1.0001978535666556</c:v>
                </c:pt>
                <c:pt idx="63">
                  <c:v>1.0001563319905808</c:v>
                </c:pt>
                <c:pt idx="64">
                  <c:v>1.0001266307935166</c:v>
                </c:pt>
                <c:pt idx="65">
                  <c:v>1.000056282333032</c:v>
                </c:pt>
                <c:pt idx="66">
                  <c:v>1.0000316592022485</c:v>
                </c:pt>
                <c:pt idx="67">
                  <c:v>1.0000140708803396</c:v>
                </c:pt>
                <c:pt idx="68">
                  <c:v>1.0000079148945693</c:v>
                </c:pt>
                <c:pt idx="69">
                  <c:v>1.0000050655397394</c:v>
                </c:pt>
                <c:pt idx="70">
                  <c:v>1.0000035177386513</c:v>
                </c:pt>
                <c:pt idx="71">
                  <c:v>1.0000025844622624</c:v>
                </c:pt>
                <c:pt idx="72">
                  <c:v>1.000001978729515</c:v>
                </c:pt>
                <c:pt idx="73">
                  <c:v>1.00000156344093</c:v>
                </c:pt>
                <c:pt idx="74">
                  <c:v>1.000001266387339</c:v>
                </c:pt>
              </c:numCache>
            </c:numRef>
          </c:yVal>
          <c:smooth val="1"/>
        </c:ser>
        <c:axId val="25156878"/>
        <c:axId val="25085311"/>
      </c:scatterChart>
      <c:valAx>
        <c:axId val="25156878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085311"/>
        <c:crossesAt val="0.01"/>
        <c:crossBetween val="midCat"/>
        <c:dispUnits/>
        <c:majorUnit val="10"/>
        <c:minorUnit val="10"/>
      </c:valAx>
      <c:valAx>
        <c:axId val="25085311"/>
        <c:scaling>
          <c:logBase val="10"/>
          <c:orientation val="minMax"/>
          <c:max val="1000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156878"/>
        <c:crossesAt val="0.0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68"/>
          <c:w val="0.153"/>
          <c:h val="0.11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215"/>
          <c:w val="0.9955"/>
          <c:h val="0.92975"/>
        </c:manualLayout>
      </c:layout>
      <c:scatterChart>
        <c:scatterStyle val="smooth"/>
        <c:varyColors val="0"/>
        <c:ser>
          <c:idx val="0"/>
          <c:order val="0"/>
          <c:tx>
            <c:v>1/B - V / m/s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Control!$Q$14:$Q$88</c:f>
              <c:numCache>
                <c:ptCount val="75"/>
                <c:pt idx="0">
                  <c:v>2.0908400733634833</c:v>
                </c:pt>
                <c:pt idx="1">
                  <c:v>3.1412632729150776</c:v>
                </c:pt>
                <c:pt idx="2">
                  <c:v>4.197672660579908</c:v>
                </c:pt>
                <c:pt idx="3">
                  <c:v>6.336290750427149</c:v>
                </c:pt>
                <c:pt idx="4">
                  <c:v>8.522098643414434</c:v>
                </c:pt>
                <c:pt idx="5">
                  <c:v>10.76994237667994</c:v>
                </c:pt>
                <c:pt idx="6">
                  <c:v>13.093966899419701</c:v>
                </c:pt>
                <c:pt idx="7">
                  <c:v>15.507504528528269</c:v>
                </c:pt>
                <c:pt idx="8">
                  <c:v>18.022996431601808</c:v>
                </c:pt>
                <c:pt idx="9">
                  <c:v>20.65194633621611</c:v>
                </c:pt>
                <c:pt idx="10">
                  <c:v>23.404903628514788</c:v>
                </c:pt>
                <c:pt idx="11">
                  <c:v>39.334786812907055</c:v>
                </c:pt>
                <c:pt idx="12">
                  <c:v>59.45459486091646</c:v>
                </c:pt>
                <c:pt idx="13">
                  <c:v>114.00483512641333</c:v>
                </c:pt>
                <c:pt idx="14">
                  <c:v>188.62281690843756</c:v>
                </c:pt>
                <c:pt idx="15">
                  <c:v>282.96449296210466</c:v>
                </c:pt>
                <c:pt idx="16">
                  <c:v>395.1599801437471</c:v>
                </c:pt>
                <c:pt idx="17">
                  <c:v>521.6070074922562</c:v>
                </c:pt>
                <c:pt idx="18">
                  <c:v>656.9145307144299</c:v>
                </c:pt>
                <c:pt idx="19">
                  <c:v>794.3720512660948</c:v>
                </c:pt>
                <c:pt idx="20">
                  <c:v>927.0015262944717</c:v>
                </c:pt>
                <c:pt idx="21">
                  <c:v>1048.8520583257064</c:v>
                </c:pt>
                <c:pt idx="22">
                  <c:v>1155.9802131372394</c:v>
                </c:pt>
                <c:pt idx="23">
                  <c:v>1246.7395843095328</c:v>
                </c:pt>
                <c:pt idx="24">
                  <c:v>1321.419943718544</c:v>
                </c:pt>
                <c:pt idx="25">
                  <c:v>1381.564278235245</c:v>
                </c:pt>
                <c:pt idx="26">
                  <c:v>1537.0910535566734</c:v>
                </c:pt>
                <c:pt idx="27">
                  <c:v>1597.5075850532933</c:v>
                </c:pt>
                <c:pt idx="28">
                  <c:v>1603.4577594238958</c:v>
                </c:pt>
                <c:pt idx="29">
                  <c:v>1603.2757465647423</c:v>
                </c:pt>
                <c:pt idx="30">
                  <c:v>1602.3924753697936</c:v>
                </c:pt>
                <c:pt idx="31">
                  <c:v>1601.5938061911586</c:v>
                </c:pt>
                <c:pt idx="32">
                  <c:v>1600.968708894164</c:v>
                </c:pt>
                <c:pt idx="33">
                  <c:v>1600.4917481209052</c:v>
                </c:pt>
                <c:pt idx="34">
                  <c:v>1600.126487302342</c:v>
                </c:pt>
                <c:pt idx="35">
                  <c:v>1599.1814779124113</c:v>
                </c:pt>
                <c:pt idx="36">
                  <c:v>1598.824259305707</c:v>
                </c:pt>
                <c:pt idx="37">
                  <c:v>1598.5607629740357</c:v>
                </c:pt>
                <c:pt idx="38">
                  <c:v>1598.46695219141</c:v>
                </c:pt>
                <c:pt idx="39">
                  <c:v>1598.4233095425252</c:v>
                </c:pt>
                <c:pt idx="40">
                  <c:v>1598.3995974052539</c:v>
                </c:pt>
                <c:pt idx="41">
                  <c:v>1598.385348321309</c:v>
                </c:pt>
                <c:pt idx="42">
                  <c:v>1598.3761665790537</c:v>
                </c:pt>
                <c:pt idx="43">
                  <c:v>1598.3699455943267</c:v>
                </c:pt>
                <c:pt idx="44">
                  <c:v>1598.3655735945686</c:v>
                </c:pt>
                <c:pt idx="45">
                  <c:v>1598.3561491464795</c:v>
                </c:pt>
                <c:pt idx="46">
                  <c:v>1598.3543872168968</c:v>
                </c:pt>
                <c:pt idx="47">
                  <c:v>1598.357525736788</c:v>
                </c:pt>
                <c:pt idx="48">
                  <c:v>1598.3647810512657</c:v>
                </c:pt>
                <c:pt idx="49">
                  <c:v>1598.3748942499</c:v>
                </c:pt>
                <c:pt idx="50">
                  <c:v>1598.3875545804042</c:v>
                </c:pt>
                <c:pt idx="51">
                  <c:v>1598.4026555143766</c:v>
                </c:pt>
                <c:pt idx="52">
                  <c:v>1598.4201525079256</c:v>
                </c:pt>
                <c:pt idx="53">
                  <c:v>1598.4400242350891</c:v>
                </c:pt>
                <c:pt idx="54">
                  <c:v>1598.4622594165407</c:v>
                </c:pt>
                <c:pt idx="55">
                  <c:v>1598.608729622972</c:v>
                </c:pt>
                <c:pt idx="56">
                  <c:v>1598.813879835236</c:v>
                </c:pt>
                <c:pt idx="57">
                  <c:v>1599.3999600356055</c:v>
                </c:pt>
                <c:pt idx="58">
                  <c:v>1600.2201402930018</c:v>
                </c:pt>
                <c:pt idx="59">
                  <c:v>1601.2740483138864</c:v>
                </c:pt>
                <c:pt idx="60">
                  <c:v>1602.561219872569</c:v>
                </c:pt>
                <c:pt idx="61">
                  <c:v>1604.0810923712659</c:v>
                </c:pt>
                <c:pt idx="62">
                  <c:v>1605.8330046341168</c:v>
                </c:pt>
                <c:pt idx="63">
                  <c:v>1607.8161979429638</c:v>
                </c:pt>
                <c:pt idx="64">
                  <c:v>1610.0298175288297</c:v>
                </c:pt>
                <c:pt idx="65">
                  <c:v>1624.5179081090096</c:v>
                </c:pt>
                <c:pt idx="66">
                  <c:v>1644.5868253260733</c:v>
                </c:pt>
                <c:pt idx="67">
                  <c:v>1700.622098188864</c:v>
                </c:pt>
                <c:pt idx="68">
                  <c:v>1776.103908700295</c:v>
                </c:pt>
                <c:pt idx="69">
                  <c:v>1868.677218406099</c:v>
                </c:pt>
                <c:pt idx="70">
                  <c:v>1975.9412635545148</c:v>
                </c:pt>
                <c:pt idx="71">
                  <c:v>2095.6414497114642</c:v>
                </c:pt>
                <c:pt idx="72">
                  <c:v>2225.7722643545417</c:v>
                </c:pt>
                <c:pt idx="73">
                  <c:v>2364.612259562641</c:v>
                </c:pt>
                <c:pt idx="74">
                  <c:v>2510.717025404748</c:v>
                </c:pt>
              </c:numCache>
            </c:numRef>
          </c:yVal>
          <c:smooth val="1"/>
        </c:ser>
        <c:ser>
          <c:idx val="2"/>
          <c:order val="1"/>
          <c:tx>
            <c:v>CLTF - V / m/s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Control!$AH$14:$AH$88</c:f>
              <c:numCache>
                <c:ptCount val="75"/>
                <c:pt idx="0">
                  <c:v>2.089019157395684</c:v>
                </c:pt>
                <c:pt idx="1">
                  <c:v>3.1385266621292103</c:v>
                </c:pt>
                <c:pt idx="2">
                  <c:v>4.194014079483972</c:v>
                </c:pt>
                <c:pt idx="3">
                  <c:v>6.330761104200327</c:v>
                </c:pt>
                <c:pt idx="4">
                  <c:v>8.514648070457582</c:v>
                </c:pt>
                <c:pt idx="5">
                  <c:v>10.760504820030784</c:v>
                </c:pt>
                <c:pt idx="6">
                  <c:v>13.08246043100115</c:v>
                </c:pt>
                <c:pt idx="7">
                  <c:v>15.493831709344638</c:v>
                </c:pt>
                <c:pt idx="8">
                  <c:v>18.00704468475454</c:v>
                </c:pt>
                <c:pt idx="9">
                  <c:v>20.633588310402253</c:v>
                </c:pt>
                <c:pt idx="10">
                  <c:v>23.383997531919135</c:v>
                </c:pt>
                <c:pt idx="11">
                  <c:v>39.298524611663424</c:v>
                </c:pt>
                <c:pt idx="12">
                  <c:v>59.3973505667753</c:v>
                </c:pt>
                <c:pt idx="13">
                  <c:v>113.88115786458285</c:v>
                </c:pt>
                <c:pt idx="14">
                  <c:v>188.38382767984976</c:v>
                </c:pt>
                <c:pt idx="15">
                  <c:v>282.53520067577534</c:v>
                </c:pt>
                <c:pt idx="16">
                  <c:v>394.4331631096033</c:v>
                </c:pt>
                <c:pt idx="17">
                  <c:v>520.4440466668099</c:v>
                </c:pt>
                <c:pt idx="18">
                  <c:v>655.1591247350538</c:v>
                </c:pt>
                <c:pt idx="19">
                  <c:v>791.8781594199135</c:v>
                </c:pt>
                <c:pt idx="20">
                  <c:v>923.6674871525502</c:v>
                </c:pt>
                <c:pt idx="21">
                  <c:v>1044.6456315820153</c:v>
                </c:pt>
                <c:pt idx="22">
                  <c:v>1150.9426106595317</c:v>
                </c:pt>
                <c:pt idx="23">
                  <c:v>1240.968840982725</c:v>
                </c:pt>
                <c:pt idx="24">
                  <c:v>1315.044296671081</c:v>
                </c:pt>
                <c:pt idx="25">
                  <c:v>1374.7173261432295</c:v>
                </c:pt>
                <c:pt idx="26">
                  <c:v>1529.3252486280862</c:v>
                </c:pt>
                <c:pt idx="27">
                  <c:v>1589.9999694738367</c:v>
                </c:pt>
                <c:pt idx="28">
                  <c:v>1596.2821320949301</c:v>
                </c:pt>
                <c:pt idx="29">
                  <c:v>1596.3064151224223</c:v>
                </c:pt>
                <c:pt idx="30">
                  <c:v>1595.5608574584492</c:v>
                </c:pt>
                <c:pt idx="31">
                  <c:v>1594.8655055569573</c:v>
                </c:pt>
                <c:pt idx="32">
                  <c:v>1594.3265092101456</c:v>
                </c:pt>
                <c:pt idx="33">
                  <c:v>1593.927399517067</c:v>
                </c:pt>
                <c:pt idx="34">
                  <c:v>1593.6367004392316</c:v>
                </c:pt>
                <c:pt idx="35">
                  <c:v>1593.0857372277949</c:v>
                </c:pt>
                <c:pt idx="36">
                  <c:v>1593.2179821932123</c:v>
                </c:pt>
                <c:pt idx="37">
                  <c:v>1594.2787062497675</c:v>
                </c:pt>
                <c:pt idx="38">
                  <c:v>1595.9461807557595</c:v>
                </c:pt>
                <c:pt idx="39">
                  <c:v>1598.0386883701115</c:v>
                </c:pt>
                <c:pt idx="40">
                  <c:v>1600.4510002189743</c:v>
                </c:pt>
                <c:pt idx="41">
                  <c:v>1603.0945331305409</c:v>
                </c:pt>
                <c:pt idx="42">
                  <c:v>1605.889406407349</c:v>
                </c:pt>
                <c:pt idx="43">
                  <c:v>1608.7646089403313</c:v>
                </c:pt>
                <c:pt idx="44">
                  <c:v>1611.6591341639771</c:v>
                </c:pt>
                <c:pt idx="45">
                  <c:v>1625.0057772188482</c:v>
                </c:pt>
                <c:pt idx="46">
                  <c:v>1634.9526344202084</c:v>
                </c:pt>
                <c:pt idx="47">
                  <c:v>1645.5456325516182</c:v>
                </c:pt>
                <c:pt idx="48">
                  <c:v>1648.613458029363</c:v>
                </c:pt>
                <c:pt idx="49">
                  <c:v>1647.69510079819</c:v>
                </c:pt>
                <c:pt idx="50">
                  <c:v>1644.3582008721373</c:v>
                </c:pt>
                <c:pt idx="51">
                  <c:v>1639.321224343924</c:v>
                </c:pt>
                <c:pt idx="52">
                  <c:v>1632.9499722123505</c:v>
                </c:pt>
                <c:pt idx="53">
                  <c:v>1625.4545568873243</c:v>
                </c:pt>
                <c:pt idx="54">
                  <c:v>1616.9714583939553</c:v>
                </c:pt>
                <c:pt idx="55">
                  <c:v>1562.6925347018766</c:v>
                </c:pt>
                <c:pt idx="56">
                  <c:v>1494.2348129481534</c:v>
                </c:pt>
                <c:pt idx="57">
                  <c:v>1338.4947839847175</c:v>
                </c:pt>
                <c:pt idx="58">
                  <c:v>1183.981046254085</c:v>
                </c:pt>
                <c:pt idx="59">
                  <c:v>1045.953518576034</c:v>
                </c:pt>
                <c:pt idx="60">
                  <c:v>928.0378826783683</c:v>
                </c:pt>
                <c:pt idx="61">
                  <c:v>828.8842585110099</c:v>
                </c:pt>
                <c:pt idx="62">
                  <c:v>745.6692825549391</c:v>
                </c:pt>
                <c:pt idx="63">
                  <c:v>675.511299676326</c:v>
                </c:pt>
                <c:pt idx="64">
                  <c:v>615.9211250313051</c:v>
                </c:pt>
                <c:pt idx="65">
                  <c:v>418.8106739613622</c:v>
                </c:pt>
                <c:pt idx="66">
                  <c:v>310.0867546113587</c:v>
                </c:pt>
                <c:pt idx="67">
                  <c:v>194.5570661721099</c:v>
                </c:pt>
                <c:pt idx="68">
                  <c:v>134.59259866424836</c:v>
                </c:pt>
                <c:pt idx="69">
                  <c:v>98.57082034396339</c:v>
                </c:pt>
                <c:pt idx="70">
                  <c:v>75.09064216555413</c:v>
                </c:pt>
                <c:pt idx="71">
                  <c:v>58.94035854551986</c:v>
                </c:pt>
                <c:pt idx="72">
                  <c:v>47.38242183391904</c:v>
                </c:pt>
                <c:pt idx="73">
                  <c:v>38.84759436441078</c:v>
                </c:pt>
                <c:pt idx="74">
                  <c:v>32.380463951829</c:v>
                </c:pt>
              </c:numCache>
            </c:numRef>
          </c:yVal>
          <c:smooth val="1"/>
        </c:ser>
        <c:ser>
          <c:idx val="1"/>
          <c:order val="2"/>
          <c:tx>
            <c:v>A - V / m/s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Control!$Y$14:$Y$88</c:f>
              <c:numCache>
                <c:ptCount val="75"/>
                <c:pt idx="0">
                  <c:v>2396.1896234335236</c:v>
                </c:pt>
                <c:pt idx="1">
                  <c:v>3594.195941503431</c:v>
                </c:pt>
                <c:pt idx="2">
                  <c:v>4792.09608187834</c:v>
                </c:pt>
                <c:pt idx="3">
                  <c:v>7187.436378094203</c:v>
                </c:pt>
                <c:pt idx="4">
                  <c:v>9581.927850106076</c:v>
                </c:pt>
                <c:pt idx="5">
                  <c:v>11975.288338258084</c:v>
                </c:pt>
                <c:pt idx="6">
                  <c:v>14367.236351574893</c:v>
                </c:pt>
                <c:pt idx="7">
                  <c:v>16757.49123320175</c:v>
                </c:pt>
                <c:pt idx="8">
                  <c:v>19145.773324697668</c:v>
                </c:pt>
                <c:pt idx="9">
                  <c:v>21531.804128959113</c:v>
                </c:pt>
                <c:pt idx="10">
                  <c:v>23915.306471552798</c:v>
                </c:pt>
                <c:pt idx="11">
                  <c:v>35785.30266494655</c:v>
                </c:pt>
                <c:pt idx="12">
                  <c:v>47551.54446534265</c:v>
                </c:pt>
                <c:pt idx="13">
                  <c:v>70645.68211421889</c:v>
                </c:pt>
                <c:pt idx="14">
                  <c:v>92964.6651476891</c:v>
                </c:pt>
                <c:pt idx="15">
                  <c:v>114315.6440950285</c:v>
                </c:pt>
                <c:pt idx="16">
                  <c:v>134551.65987455</c:v>
                </c:pt>
                <c:pt idx="17">
                  <c:v>153572.81242712412</c:v>
                </c:pt>
                <c:pt idx="18">
                  <c:v>171323.62324233778</c:v>
                </c:pt>
                <c:pt idx="19">
                  <c:v>187787.69458158308</c:v>
                </c:pt>
                <c:pt idx="20">
                  <c:v>202980.85604585204</c:v>
                </c:pt>
                <c:pt idx="21">
                  <c:v>216943.8475741952</c:v>
                </c:pt>
                <c:pt idx="22">
                  <c:v>229735.32367515584</c:v>
                </c:pt>
                <c:pt idx="23">
                  <c:v>241425.67225208643</c:v>
                </c:pt>
                <c:pt idx="24">
                  <c:v>252091.8859416062</c:v>
                </c:pt>
                <c:pt idx="25">
                  <c:v>261813.5333236627</c:v>
                </c:pt>
                <c:pt idx="26">
                  <c:v>298908.5419267823</c:v>
                </c:pt>
                <c:pt idx="27">
                  <c:v>338151.5233641074</c:v>
                </c:pt>
                <c:pt idx="28">
                  <c:v>356702.28003257303</c:v>
                </c:pt>
                <c:pt idx="29">
                  <c:v>367183.6060215905</c:v>
                </c:pt>
                <c:pt idx="30">
                  <c:v>374165.3100633325</c:v>
                </c:pt>
                <c:pt idx="31">
                  <c:v>379528.48201410036</c:v>
                </c:pt>
                <c:pt idx="32">
                  <c:v>384147.32577488327</c:v>
                </c:pt>
                <c:pt idx="33">
                  <c:v>388472.513958167</c:v>
                </c:pt>
                <c:pt idx="34">
                  <c:v>392758.5484512583</c:v>
                </c:pt>
                <c:pt idx="35">
                  <c:v>417691.71988825133</c:v>
                </c:pt>
                <c:pt idx="36">
                  <c:v>454089.37924377614</c:v>
                </c:pt>
                <c:pt idx="37">
                  <c:v>595165.9239974304</c:v>
                </c:pt>
                <c:pt idx="38">
                  <c:v>997380.4506483692</c:v>
                </c:pt>
                <c:pt idx="39">
                  <c:v>1997738.3799593823</c:v>
                </c:pt>
                <c:pt idx="40">
                  <c:v>812911.7984069381</c:v>
                </c:pt>
                <c:pt idx="41">
                  <c:v>416522.4804292457</c:v>
                </c:pt>
                <c:pt idx="42">
                  <c:v>267982.1696987373</c:v>
                </c:pt>
                <c:pt idx="43">
                  <c:v>193083.8677486232</c:v>
                </c:pt>
                <c:pt idx="44">
                  <c:v>148799.02888986646</c:v>
                </c:pt>
                <c:pt idx="45">
                  <c:v>65320.211778701065</c:v>
                </c:pt>
                <c:pt idx="46">
                  <c:v>40772.09962341118</c:v>
                </c:pt>
                <c:pt idx="47">
                  <c:v>23236.316143325246</c:v>
                </c:pt>
                <c:pt idx="48">
                  <c:v>16368.550982361825</c:v>
                </c:pt>
                <c:pt idx="49">
                  <c:v>12697.468083502656</c:v>
                </c:pt>
                <c:pt idx="50">
                  <c:v>10399.872053941694</c:v>
                </c:pt>
                <c:pt idx="51">
                  <c:v>8819.935329512628</c:v>
                </c:pt>
                <c:pt idx="52">
                  <c:v>7663.696826791035</c:v>
                </c:pt>
                <c:pt idx="53">
                  <c:v>6779.295868462486</c:v>
                </c:pt>
                <c:pt idx="54">
                  <c:v>6080.116930197407</c:v>
                </c:pt>
                <c:pt idx="55">
                  <c:v>4019.3877020384834</c:v>
                </c:pt>
                <c:pt idx="56">
                  <c:v>3005.099198304068</c:v>
                </c:pt>
                <c:pt idx="57">
                  <c:v>1997.963561799701</c:v>
                </c:pt>
                <c:pt idx="58">
                  <c:v>1496.064916473499</c:v>
                </c:pt>
                <c:pt idx="59">
                  <c:v>1195.1032965907568</c:v>
                </c:pt>
                <c:pt idx="60">
                  <c:v>994.3739485512508</c:v>
                </c:pt>
                <c:pt idx="61">
                  <c:v>850.8526279933192</c:v>
                </c:pt>
                <c:pt idx="62">
                  <c:v>743.0633193862651</c:v>
                </c:pt>
                <c:pt idx="63">
                  <c:v>659.0871254323553</c:v>
                </c:pt>
                <c:pt idx="64">
                  <c:v>591.7776205255175</c:v>
                </c:pt>
                <c:pt idx="65">
                  <c:v>388.5901140718907</c:v>
                </c:pt>
                <c:pt idx="66">
                  <c:v>285.56452501591275</c:v>
                </c:pt>
                <c:pt idx="67">
                  <c:v>180.37464799085814</c:v>
                </c:pt>
                <c:pt idx="68">
                  <c:v>126.52468451830043</c:v>
                </c:pt>
                <c:pt idx="69">
                  <c:v>93.93787048417359</c:v>
                </c:pt>
                <c:pt idx="70">
                  <c:v>72.38593121890298</c:v>
                </c:pt>
                <c:pt idx="71">
                  <c:v>57.328656007950315</c:v>
                </c:pt>
                <c:pt idx="72">
                  <c:v>46.40003138180347</c:v>
                </c:pt>
                <c:pt idx="73">
                  <c:v>38.23459989889912</c:v>
                </c:pt>
                <c:pt idx="74">
                  <c:v>31.988965987498197</c:v>
                </c:pt>
              </c:numCache>
            </c:numRef>
          </c:yVal>
          <c:smooth val="1"/>
        </c:ser>
        <c:ser>
          <c:idx val="3"/>
          <c:order val="3"/>
          <c:tx>
            <c:v>Loop Gain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Control!$AA$14:$AA$88</c:f>
              <c:numCache>
                <c:ptCount val="75"/>
                <c:pt idx="0">
                  <c:v>1146.041561934883</c:v>
                </c:pt>
                <c:pt idx="1">
                  <c:v>1144.1880636028386</c:v>
                </c:pt>
                <c:pt idx="2">
                  <c:v>1141.6078549622603</c:v>
                </c:pt>
                <c:pt idx="3">
                  <c:v>1134.328688690568</c:v>
                </c:pt>
                <c:pt idx="4">
                  <c:v>1124.3624664577947</c:v>
                </c:pt>
                <c:pt idx="5">
                  <c:v>1111.9175868747536</c:v>
                </c:pt>
                <c:pt idx="6">
                  <c:v>1097.2409249187626</c:v>
                </c:pt>
                <c:pt idx="7">
                  <c:v>1080.6052774238383</c:v>
                </c:pt>
                <c:pt idx="8">
                  <c:v>1062.2969048102993</c:v>
                </c:pt>
                <c:pt idx="9">
                  <c:v>1042.60410996711</c:v>
                </c:pt>
                <c:pt idx="10">
                  <c:v>1021.8075173963191</c:v>
                </c:pt>
                <c:pt idx="11">
                  <c:v>909.7622121395146</c:v>
                </c:pt>
                <c:pt idx="12">
                  <c:v>799.7959548220136</c:v>
                </c:pt>
                <c:pt idx="13">
                  <c:v>619.672683495257</c:v>
                </c:pt>
                <c:pt idx="14">
                  <c:v>492.86012515027016</c:v>
                </c:pt>
                <c:pt idx="15">
                  <c:v>403.99289288334137</c:v>
                </c:pt>
                <c:pt idx="16">
                  <c:v>340.4992069935939</c:v>
                </c:pt>
                <c:pt idx="17">
                  <c:v>294.4224487425122</c:v>
                </c:pt>
                <c:pt idx="18">
                  <c:v>260.80047743199367</c:v>
                </c:pt>
                <c:pt idx="19">
                  <c:v>236.39766062046272</c:v>
                </c:pt>
                <c:pt idx="20">
                  <c:v>218.96496422959808</c:v>
                </c:pt>
                <c:pt idx="21">
                  <c:v>206.83932100062322</c:v>
                </c:pt>
                <c:pt idx="22">
                  <c:v>198.73638066145796</c:v>
                </c:pt>
                <c:pt idx="23">
                  <c:v>193.64563000202844</c:v>
                </c:pt>
                <c:pt idx="24">
                  <c:v>190.77348358479156</c:v>
                </c:pt>
                <c:pt idx="25">
                  <c:v>189.5051409827216</c:v>
                </c:pt>
                <c:pt idx="26">
                  <c:v>194.46378354433705</c:v>
                </c:pt>
                <c:pt idx="27">
                  <c:v>211.67443993877893</c:v>
                </c:pt>
                <c:pt idx="28">
                  <c:v>222.45817074765458</c:v>
                </c:pt>
                <c:pt idx="29">
                  <c:v>229.02086980878764</c:v>
                </c:pt>
                <c:pt idx="30">
                  <c:v>233.50416069383039</c:v>
                </c:pt>
                <c:pt idx="31">
                  <c:v>236.96924934835954</c:v>
                </c:pt>
                <c:pt idx="32">
                  <c:v>239.9468044820349</c:v>
                </c:pt>
                <c:pt idx="33">
                  <c:v>242.7207228117624</c:v>
                </c:pt>
                <c:pt idx="34">
                  <c:v>245.45468846866714</c:v>
                </c:pt>
                <c:pt idx="35">
                  <c:v>261.1909440281358</c:v>
                </c:pt>
                <c:pt idx="36">
                  <c:v>284.01456670476455</c:v>
                </c:pt>
                <c:pt idx="37">
                  <c:v>372.3136072038675</c:v>
                </c:pt>
                <c:pt idx="38">
                  <c:v>623.9606325804964</c:v>
                </c:pt>
                <c:pt idx="39">
                  <c:v>1249.8180976421943</c:v>
                </c:pt>
                <c:pt idx="40">
                  <c:v>508.57858055430614</c:v>
                </c:pt>
                <c:pt idx="41">
                  <c:v>260.58952609062294</c:v>
                </c:pt>
                <c:pt idx="42">
                  <c:v>167.6590125041026</c:v>
                </c:pt>
                <c:pt idx="43">
                  <c:v>120.80048694661126</c:v>
                </c:pt>
                <c:pt idx="44">
                  <c:v>93.09449061470458</c:v>
                </c:pt>
                <c:pt idx="45">
                  <c:v>40.867119517500484</c:v>
                </c:pt>
                <c:pt idx="46">
                  <c:v>25.50879826745108</c:v>
                </c:pt>
                <c:pt idx="47">
                  <c:v>14.537621132427203</c:v>
                </c:pt>
                <c:pt idx="48">
                  <c:v>10.240810593684381</c:v>
                </c:pt>
                <c:pt idx="49">
                  <c:v>7.943986188209891</c:v>
                </c:pt>
                <c:pt idx="50">
                  <c:v>6.506477120732952</c:v>
                </c:pt>
                <c:pt idx="51">
                  <c:v>5.517968391183832</c:v>
                </c:pt>
                <c:pt idx="52">
                  <c:v>4.794544672604805</c:v>
                </c:pt>
                <c:pt idx="53">
                  <c:v>4.241195018691191</c:v>
                </c:pt>
                <c:pt idx="54">
                  <c:v>3.8037287989625246</c:v>
                </c:pt>
                <c:pt idx="55">
                  <c:v>2.514303611357384</c:v>
                </c:pt>
                <c:pt idx="56">
                  <c:v>1.8795803790580992</c:v>
                </c:pt>
                <c:pt idx="57">
                  <c:v>1.2491957057165461</c:v>
                </c:pt>
                <c:pt idx="58">
                  <c:v>0.9349119404281268</c:v>
                </c:pt>
                <c:pt idx="59">
                  <c:v>0.7463452604188394</c:v>
                </c:pt>
                <c:pt idx="60">
                  <c:v>0.6204904600339208</c:v>
                </c:pt>
                <c:pt idx="61">
                  <c:v>0.5304299340225554</c:v>
                </c:pt>
                <c:pt idx="62">
                  <c:v>0.46272764181700815</c:v>
                </c:pt>
                <c:pt idx="63">
                  <c:v>0.4099269097273619</c:v>
                </c:pt>
                <c:pt idx="64">
                  <c:v>0.36755693222738767</c:v>
                </c:pt>
                <c:pt idx="65">
                  <c:v>0.23920334280846534</c:v>
                </c:pt>
                <c:pt idx="66">
                  <c:v>0.1736390688641771</c:v>
                </c:pt>
                <c:pt idx="67">
                  <c:v>0.1060639210692101</c:v>
                </c:pt>
                <c:pt idx="68">
                  <c:v>0.07123720853184083</c:v>
                </c:pt>
                <c:pt idx="69">
                  <c:v>0.050269714618931705</c:v>
                </c:pt>
                <c:pt idx="70">
                  <c:v>0.0366336452171094</c:v>
                </c:pt>
                <c:pt idx="71">
                  <c:v>0.02735613767128127</c:v>
                </c:pt>
                <c:pt idx="72">
                  <c:v>0.02084671110557626</c:v>
                </c:pt>
                <c:pt idx="73">
                  <c:v>0.016169500832229854</c:v>
                </c:pt>
                <c:pt idx="74">
                  <c:v>0.012740968282692595</c:v>
                </c:pt>
              </c:numCache>
            </c:numRef>
          </c:yVal>
          <c:smooth val="1"/>
        </c:ser>
        <c:ser>
          <c:idx val="4"/>
          <c:order val="4"/>
          <c:tx>
            <c:v>A-1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Control!$A$26:$A$61</c:f>
              <c:numCache>
                <c:ptCount val="36"/>
                <c:pt idx="0">
                  <c:v>0.002</c:v>
                </c:pt>
                <c:pt idx="1">
                  <c:v>0.003</c:v>
                </c:pt>
                <c:pt idx="2">
                  <c:v>0.004</c:v>
                </c:pt>
                <c:pt idx="3">
                  <c:v>0.005</c:v>
                </c:pt>
                <c:pt idx="4">
                  <c:v>0.006</c:v>
                </c:pt>
                <c:pt idx="5">
                  <c:v>0.006999999999999999</c:v>
                </c:pt>
                <c:pt idx="6">
                  <c:v>0.008</c:v>
                </c:pt>
                <c:pt idx="7">
                  <c:v>0.009</c:v>
                </c:pt>
                <c:pt idx="8">
                  <c:v>0.01</c:v>
                </c:pt>
                <c:pt idx="9">
                  <c:v>0.011</c:v>
                </c:pt>
                <c:pt idx="10">
                  <c:v>0.012</c:v>
                </c:pt>
                <c:pt idx="11">
                  <c:v>0.013</c:v>
                </c:pt>
                <c:pt idx="12">
                  <c:v>0.014</c:v>
                </c:pt>
                <c:pt idx="13">
                  <c:v>0.015</c:v>
                </c:pt>
                <c:pt idx="14">
                  <c:v>0.02</c:v>
                </c:pt>
                <c:pt idx="15">
                  <c:v>0.03</c:v>
                </c:pt>
                <c:pt idx="16">
                  <c:v>0.04</c:v>
                </c:pt>
                <c:pt idx="17">
                  <c:v>0.05</c:v>
                </c:pt>
                <c:pt idx="18">
                  <c:v>0.06</c:v>
                </c:pt>
                <c:pt idx="19">
                  <c:v>0.07</c:v>
                </c:pt>
                <c:pt idx="20">
                  <c:v>0.08</c:v>
                </c:pt>
                <c:pt idx="21">
                  <c:v>0.09</c:v>
                </c:pt>
                <c:pt idx="22">
                  <c:v>0.1</c:v>
                </c:pt>
                <c:pt idx="23">
                  <c:v>0.15</c:v>
                </c:pt>
                <c:pt idx="24">
                  <c:v>0.2</c:v>
                </c:pt>
                <c:pt idx="25">
                  <c:v>0.3</c:v>
                </c:pt>
                <c:pt idx="26">
                  <c:v>0.4</c:v>
                </c:pt>
                <c:pt idx="27">
                  <c:v>0.5</c:v>
                </c:pt>
                <c:pt idx="28">
                  <c:v>0.6</c:v>
                </c:pt>
                <c:pt idx="29">
                  <c:v>0.7</c:v>
                </c:pt>
                <c:pt idx="30">
                  <c:v>0.8</c:v>
                </c:pt>
                <c:pt idx="31">
                  <c:v>0.9</c:v>
                </c:pt>
                <c:pt idx="32">
                  <c:v>1</c:v>
                </c:pt>
                <c:pt idx="33">
                  <c:v>1.5</c:v>
                </c:pt>
                <c:pt idx="34">
                  <c:v>2</c:v>
                </c:pt>
                <c:pt idx="35">
                  <c:v>3</c:v>
                </c:pt>
              </c:numCache>
            </c:numRef>
          </c:xVal>
          <c:yVal>
            <c:numRef>
              <c:f>Control!$AP$26:$AP$61</c:f>
              <c:numCache>
                <c:ptCount val="36"/>
                <c:pt idx="0">
                  <c:v>47924.73646383152</c:v>
                </c:pt>
                <c:pt idx="1">
                  <c:v>71887.10469574729</c:v>
                </c:pt>
                <c:pt idx="2">
                  <c:v>95849.47292766304</c:v>
                </c:pt>
                <c:pt idx="3">
                  <c:v>119811.84115957883</c:v>
                </c:pt>
                <c:pt idx="4">
                  <c:v>143774.20939149457</c:v>
                </c:pt>
                <c:pt idx="5">
                  <c:v>167736.5776234103</c:v>
                </c:pt>
                <c:pt idx="6">
                  <c:v>191698.94585532608</c:v>
                </c:pt>
                <c:pt idx="7">
                  <c:v>215661.3140872418</c:v>
                </c:pt>
                <c:pt idx="8">
                  <c:v>239623.68231915767</c:v>
                </c:pt>
                <c:pt idx="9">
                  <c:v>263586.0505510733</c:v>
                </c:pt>
                <c:pt idx="10">
                  <c:v>287548.41878298915</c:v>
                </c:pt>
                <c:pt idx="11">
                  <c:v>311510.7870149049</c:v>
                </c:pt>
                <c:pt idx="12">
                  <c:v>335473.1552468206</c:v>
                </c:pt>
                <c:pt idx="13">
                  <c:v>359435.5234787364</c:v>
                </c:pt>
                <c:pt idx="14">
                  <c:v>479247.36463831534</c:v>
                </c:pt>
                <c:pt idx="15">
                  <c:v>718871.0469574728</c:v>
                </c:pt>
                <c:pt idx="16">
                  <c:v>958494.7292766307</c:v>
                </c:pt>
                <c:pt idx="17">
                  <c:v>1198118.4115957879</c:v>
                </c:pt>
                <c:pt idx="18">
                  <c:v>1437742.0939149456</c:v>
                </c:pt>
                <c:pt idx="19">
                  <c:v>1677365.7762341038</c:v>
                </c:pt>
                <c:pt idx="20">
                  <c:v>1916989.4585532614</c:v>
                </c:pt>
                <c:pt idx="21">
                  <c:v>2156613.140872419</c:v>
                </c:pt>
                <c:pt idx="22">
                  <c:v>2396236.8231915757</c:v>
                </c:pt>
                <c:pt idx="23">
                  <c:v>3594355.234787364</c:v>
                </c:pt>
                <c:pt idx="24">
                  <c:v>4792473.646383151</c:v>
                </c:pt>
                <c:pt idx="25">
                  <c:v>7188710.469574728</c:v>
                </c:pt>
                <c:pt idx="26">
                  <c:v>9584947.292766303</c:v>
                </c:pt>
                <c:pt idx="27">
                  <c:v>11981184.115957882</c:v>
                </c:pt>
                <c:pt idx="28">
                  <c:v>14377420.939149456</c:v>
                </c:pt>
                <c:pt idx="29">
                  <c:v>16773657.762341036</c:v>
                </c:pt>
                <c:pt idx="30">
                  <c:v>19169894.585532606</c:v>
                </c:pt>
                <c:pt idx="31">
                  <c:v>21566131.40872418</c:v>
                </c:pt>
                <c:pt idx="32">
                  <c:v>23962368.231915765</c:v>
                </c:pt>
                <c:pt idx="33">
                  <c:v>35943552.34787364</c:v>
                </c:pt>
                <c:pt idx="34">
                  <c:v>47924736.46383153</c:v>
                </c:pt>
                <c:pt idx="35">
                  <c:v>71887104.69574729</c:v>
                </c:pt>
              </c:numCache>
            </c:numRef>
          </c:yVal>
          <c:smooth val="1"/>
        </c:ser>
        <c:ser>
          <c:idx val="5"/>
          <c:order val="5"/>
          <c:tx>
            <c:v>A-2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Control!$A$46:$A$61</c:f>
              <c:numCache>
                <c:ptCount val="16"/>
                <c:pt idx="0">
                  <c:v>0.08</c:v>
                </c:pt>
                <c:pt idx="1">
                  <c:v>0.09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0.7</c:v>
                </c:pt>
                <c:pt idx="10">
                  <c:v>0.8</c:v>
                </c:pt>
                <c:pt idx="11">
                  <c:v>0.9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3</c:v>
                </c:pt>
              </c:numCache>
            </c:numRef>
          </c:xVal>
          <c:yVal>
            <c:numRef>
              <c:f>Control!$AQ$46:$AQ$61</c:f>
              <c:numCache>
                <c:ptCount val="16"/>
                <c:pt idx="0">
                  <c:v>748824.0072473675</c:v>
                </c:pt>
                <c:pt idx="1">
                  <c:v>665621.3397754378</c:v>
                </c:pt>
                <c:pt idx="2">
                  <c:v>599059.205797894</c:v>
                </c:pt>
                <c:pt idx="3">
                  <c:v>399372.8038652627</c:v>
                </c:pt>
                <c:pt idx="4">
                  <c:v>299529.602898947</c:v>
                </c:pt>
                <c:pt idx="5">
                  <c:v>199686.40193263136</c:v>
                </c:pt>
                <c:pt idx="6">
                  <c:v>149764.8014494735</c:v>
                </c:pt>
                <c:pt idx="7">
                  <c:v>119811.84115957882</c:v>
                </c:pt>
                <c:pt idx="8">
                  <c:v>99843.20096631568</c:v>
                </c:pt>
                <c:pt idx="9">
                  <c:v>85579.8865425563</c:v>
                </c:pt>
                <c:pt idx="10">
                  <c:v>74882.40072473676</c:v>
                </c:pt>
                <c:pt idx="11">
                  <c:v>66562.13397754378</c:v>
                </c:pt>
                <c:pt idx="12">
                  <c:v>59905.92057978941</c:v>
                </c:pt>
                <c:pt idx="13">
                  <c:v>39937.28038652627</c:v>
                </c:pt>
                <c:pt idx="14">
                  <c:v>29952.960289894705</c:v>
                </c:pt>
                <c:pt idx="15">
                  <c:v>19968.640193263134</c:v>
                </c:pt>
              </c:numCache>
            </c:numRef>
          </c:yVal>
          <c:smooth val="1"/>
        </c:ser>
        <c:ser>
          <c:idx val="6"/>
          <c:order val="6"/>
          <c:tx>
            <c:v>A-3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Control!$A$24:$A$58</c:f>
              <c:numCache>
                <c:ptCount val="35"/>
                <c:pt idx="0">
                  <c:v>0.001</c:v>
                </c:pt>
                <c:pt idx="1">
                  <c:v>0.0015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0.02</c:v>
                </c:pt>
                <c:pt idx="17">
                  <c:v>0.03</c:v>
                </c:pt>
                <c:pt idx="18">
                  <c:v>0.04</c:v>
                </c:pt>
                <c:pt idx="19">
                  <c:v>0.05</c:v>
                </c:pt>
                <c:pt idx="20">
                  <c:v>0.06</c:v>
                </c:pt>
                <c:pt idx="21">
                  <c:v>0.07</c:v>
                </c:pt>
                <c:pt idx="22">
                  <c:v>0.08</c:v>
                </c:pt>
                <c:pt idx="23">
                  <c:v>0.09</c:v>
                </c:pt>
                <c:pt idx="24">
                  <c:v>0.1</c:v>
                </c:pt>
                <c:pt idx="25">
                  <c:v>0.15</c:v>
                </c:pt>
                <c:pt idx="26">
                  <c:v>0.2</c:v>
                </c:pt>
                <c:pt idx="27">
                  <c:v>0.3</c:v>
                </c:pt>
                <c:pt idx="28">
                  <c:v>0.4</c:v>
                </c:pt>
                <c:pt idx="29">
                  <c:v>0.5</c:v>
                </c:pt>
                <c:pt idx="30">
                  <c:v>0.6</c:v>
                </c:pt>
                <c:pt idx="31">
                  <c:v>0.7</c:v>
                </c:pt>
                <c:pt idx="32">
                  <c:v>0.8</c:v>
                </c:pt>
                <c:pt idx="33">
                  <c:v>0.9</c:v>
                </c:pt>
                <c:pt idx="34">
                  <c:v>1</c:v>
                </c:pt>
              </c:numCache>
            </c:numRef>
          </c:xVal>
          <c:yVal>
            <c:numRef>
              <c:f>Control!$AR$24:$AR$58</c:f>
              <c:numCache>
                <c:ptCount val="35"/>
                <c:pt idx="0">
                  <c:v>20.881679276560735</c:v>
                </c:pt>
                <c:pt idx="1">
                  <c:v>31.3225189148411</c:v>
                </c:pt>
                <c:pt idx="2">
                  <c:v>41.76335855312147</c:v>
                </c:pt>
                <c:pt idx="3">
                  <c:v>62.6450378296822</c:v>
                </c:pt>
                <c:pt idx="4">
                  <c:v>83.52671710624294</c:v>
                </c:pt>
                <c:pt idx="5">
                  <c:v>104.40839638280369</c:v>
                </c:pt>
                <c:pt idx="6">
                  <c:v>125.2900756593644</c:v>
                </c:pt>
                <c:pt idx="7">
                  <c:v>146.17175493592515</c:v>
                </c:pt>
                <c:pt idx="8">
                  <c:v>167.05343421248588</c:v>
                </c:pt>
                <c:pt idx="9">
                  <c:v>187.93511348904659</c:v>
                </c:pt>
                <c:pt idx="10">
                  <c:v>208.81679276560737</c:v>
                </c:pt>
                <c:pt idx="11">
                  <c:v>229.69847204216805</c:v>
                </c:pt>
                <c:pt idx="12">
                  <c:v>250.5801513187288</c:v>
                </c:pt>
                <c:pt idx="13">
                  <c:v>271.46183059528954</c:v>
                </c:pt>
                <c:pt idx="14">
                  <c:v>292.3435098718503</c:v>
                </c:pt>
                <c:pt idx="15">
                  <c:v>313.225189148411</c:v>
                </c:pt>
                <c:pt idx="16">
                  <c:v>417.63358553121475</c:v>
                </c:pt>
                <c:pt idx="17">
                  <c:v>626.450378296822</c:v>
                </c:pt>
                <c:pt idx="18">
                  <c:v>835.2671710624295</c:v>
                </c:pt>
                <c:pt idx="19">
                  <c:v>1044.0839638280368</c:v>
                </c:pt>
                <c:pt idx="20">
                  <c:v>1252.900756593644</c:v>
                </c:pt>
                <c:pt idx="21">
                  <c:v>1461.7175493592517</c:v>
                </c:pt>
                <c:pt idx="22">
                  <c:v>1670.534342124859</c:v>
                </c:pt>
                <c:pt idx="23">
                  <c:v>1879.3511348904663</c:v>
                </c:pt>
                <c:pt idx="24">
                  <c:v>2088.1679276560735</c:v>
                </c:pt>
                <c:pt idx="25">
                  <c:v>3132.2518914841103</c:v>
                </c:pt>
                <c:pt idx="26">
                  <c:v>4176.335855312147</c:v>
                </c:pt>
                <c:pt idx="27">
                  <c:v>6264.503782968221</c:v>
                </c:pt>
                <c:pt idx="28">
                  <c:v>8352.671710624294</c:v>
                </c:pt>
                <c:pt idx="29">
                  <c:v>10440.839638280368</c:v>
                </c:pt>
                <c:pt idx="30">
                  <c:v>12529.007565936441</c:v>
                </c:pt>
                <c:pt idx="31">
                  <c:v>14617.175493592515</c:v>
                </c:pt>
                <c:pt idx="32">
                  <c:v>16705.343421248588</c:v>
                </c:pt>
                <c:pt idx="33">
                  <c:v>18793.51134890466</c:v>
                </c:pt>
                <c:pt idx="34">
                  <c:v>20881.679276560735</c:v>
                </c:pt>
              </c:numCache>
            </c:numRef>
          </c:yVal>
          <c:smooth val="1"/>
        </c:ser>
        <c:ser>
          <c:idx val="7"/>
          <c:order val="7"/>
          <c:tx>
            <c:v>A-4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Control!$A$24:$A$48</c:f>
              <c:numCache>
                <c:ptCount val="25"/>
                <c:pt idx="0">
                  <c:v>0.001</c:v>
                </c:pt>
                <c:pt idx="1">
                  <c:v>0.0015</c:v>
                </c:pt>
                <c:pt idx="2">
                  <c:v>0.002</c:v>
                </c:pt>
                <c:pt idx="3">
                  <c:v>0.003</c:v>
                </c:pt>
                <c:pt idx="4">
                  <c:v>0.004</c:v>
                </c:pt>
                <c:pt idx="5">
                  <c:v>0.005</c:v>
                </c:pt>
                <c:pt idx="6">
                  <c:v>0.006</c:v>
                </c:pt>
                <c:pt idx="7">
                  <c:v>0.006999999999999999</c:v>
                </c:pt>
                <c:pt idx="8">
                  <c:v>0.008</c:v>
                </c:pt>
                <c:pt idx="9">
                  <c:v>0.009</c:v>
                </c:pt>
                <c:pt idx="10">
                  <c:v>0.01</c:v>
                </c:pt>
                <c:pt idx="11">
                  <c:v>0.011</c:v>
                </c:pt>
                <c:pt idx="12">
                  <c:v>0.012</c:v>
                </c:pt>
                <c:pt idx="13">
                  <c:v>0.013</c:v>
                </c:pt>
                <c:pt idx="14">
                  <c:v>0.014</c:v>
                </c:pt>
                <c:pt idx="15">
                  <c:v>0.015</c:v>
                </c:pt>
                <c:pt idx="16">
                  <c:v>0.02</c:v>
                </c:pt>
                <c:pt idx="17">
                  <c:v>0.03</c:v>
                </c:pt>
                <c:pt idx="18">
                  <c:v>0.04</c:v>
                </c:pt>
                <c:pt idx="19">
                  <c:v>0.05</c:v>
                </c:pt>
                <c:pt idx="20">
                  <c:v>0.06</c:v>
                </c:pt>
                <c:pt idx="21">
                  <c:v>0.07</c:v>
                </c:pt>
                <c:pt idx="22">
                  <c:v>0.08</c:v>
                </c:pt>
                <c:pt idx="23">
                  <c:v>0.09</c:v>
                </c:pt>
                <c:pt idx="24">
                  <c:v>0.1</c:v>
                </c:pt>
              </c:numCache>
            </c:numRef>
          </c:xVal>
          <c:yVal>
            <c:numRef>
              <c:f>Control!$AS$24:$AS$48</c:f>
              <c:numCache>
                <c:ptCount val="25"/>
                <c:pt idx="0">
                  <c:v>13.082624459428589</c:v>
                </c:pt>
                <c:pt idx="1">
                  <c:v>29.43590503371432</c:v>
                </c:pt>
                <c:pt idx="2">
                  <c:v>52.330497837714354</c:v>
                </c:pt>
                <c:pt idx="3">
                  <c:v>117.74362013485728</c:v>
                </c:pt>
                <c:pt idx="4">
                  <c:v>209.32199135085742</c:v>
                </c:pt>
                <c:pt idx="5">
                  <c:v>327.0656114857147</c:v>
                </c:pt>
                <c:pt idx="6">
                  <c:v>470.9744805394291</c:v>
                </c:pt>
                <c:pt idx="7">
                  <c:v>641.0485985120008</c:v>
                </c:pt>
                <c:pt idx="8">
                  <c:v>837.2879654034297</c:v>
                </c:pt>
                <c:pt idx="9">
                  <c:v>1059.6925812137154</c:v>
                </c:pt>
                <c:pt idx="10">
                  <c:v>1308.262445942859</c:v>
                </c:pt>
                <c:pt idx="11">
                  <c:v>1582.9975595908584</c:v>
                </c:pt>
                <c:pt idx="12">
                  <c:v>1883.8979221577165</c:v>
                </c:pt>
                <c:pt idx="13">
                  <c:v>2210.963533643431</c:v>
                </c:pt>
                <c:pt idx="14">
                  <c:v>2564.1943940480032</c:v>
                </c:pt>
                <c:pt idx="15">
                  <c:v>2943.5905033714316</c:v>
                </c:pt>
                <c:pt idx="16">
                  <c:v>5233.049783771436</c:v>
                </c:pt>
                <c:pt idx="17">
                  <c:v>11774.362013485726</c:v>
                </c:pt>
                <c:pt idx="18">
                  <c:v>20932.199135085742</c:v>
                </c:pt>
                <c:pt idx="19">
                  <c:v>32706.56114857147</c:v>
                </c:pt>
                <c:pt idx="20">
                  <c:v>47097.448053942906</c:v>
                </c:pt>
                <c:pt idx="21">
                  <c:v>64104.85985120009</c:v>
                </c:pt>
                <c:pt idx="22">
                  <c:v>83728.79654034297</c:v>
                </c:pt>
                <c:pt idx="23">
                  <c:v>105969.25812137156</c:v>
                </c:pt>
                <c:pt idx="24">
                  <c:v>130826.24459428588</c:v>
                </c:pt>
              </c:numCache>
            </c:numRef>
          </c:yVal>
          <c:smooth val="1"/>
        </c:ser>
        <c:ser>
          <c:idx val="8"/>
          <c:order val="8"/>
          <c:tx>
            <c:v>A-5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Control!$A$14:$A$41</c:f>
              <c:numCache>
                <c:ptCount val="28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</c:numCache>
            </c:numRef>
          </c:xVal>
          <c:yVal>
            <c:numRef>
              <c:f>Control!$AT$14:$AT$41</c:f>
              <c:numCache>
                <c:ptCount val="28"/>
                <c:pt idx="0">
                  <c:v>1598.3734951313543</c:v>
                </c:pt>
                <c:pt idx="1">
                  <c:v>1598.3734951313543</c:v>
                </c:pt>
                <c:pt idx="2">
                  <c:v>1598.3734951313543</c:v>
                </c:pt>
                <c:pt idx="3">
                  <c:v>1598.3734951313543</c:v>
                </c:pt>
                <c:pt idx="4">
                  <c:v>1598.3734951313543</c:v>
                </c:pt>
                <c:pt idx="5">
                  <c:v>1598.3734951313543</c:v>
                </c:pt>
                <c:pt idx="6">
                  <c:v>1598.3734951313543</c:v>
                </c:pt>
                <c:pt idx="7">
                  <c:v>1598.3734951313543</c:v>
                </c:pt>
                <c:pt idx="8">
                  <c:v>1598.3734951313543</c:v>
                </c:pt>
                <c:pt idx="9">
                  <c:v>1598.3734951313543</c:v>
                </c:pt>
                <c:pt idx="10">
                  <c:v>1598.3734951313543</c:v>
                </c:pt>
                <c:pt idx="11">
                  <c:v>1598.3734951313543</c:v>
                </c:pt>
                <c:pt idx="12">
                  <c:v>1598.3734951313543</c:v>
                </c:pt>
                <c:pt idx="13">
                  <c:v>1598.3734951313543</c:v>
                </c:pt>
                <c:pt idx="14">
                  <c:v>1598.3734951313543</c:v>
                </c:pt>
                <c:pt idx="15">
                  <c:v>1598.3734951313543</c:v>
                </c:pt>
                <c:pt idx="16">
                  <c:v>1598.3734951313543</c:v>
                </c:pt>
                <c:pt idx="17">
                  <c:v>1598.3734951313543</c:v>
                </c:pt>
                <c:pt idx="18">
                  <c:v>1598.3734951313543</c:v>
                </c:pt>
                <c:pt idx="19">
                  <c:v>1598.3734951313543</c:v>
                </c:pt>
                <c:pt idx="20">
                  <c:v>1598.3734951313543</c:v>
                </c:pt>
                <c:pt idx="21">
                  <c:v>1598.3734951313543</c:v>
                </c:pt>
                <c:pt idx="22">
                  <c:v>1598.3734951313543</c:v>
                </c:pt>
                <c:pt idx="23">
                  <c:v>1598.3734951313543</c:v>
                </c:pt>
                <c:pt idx="24">
                  <c:v>1598.3734951313543</c:v>
                </c:pt>
                <c:pt idx="25">
                  <c:v>1598.3734951313543</c:v>
                </c:pt>
                <c:pt idx="26">
                  <c:v>1598.3734951313543</c:v>
                </c:pt>
                <c:pt idx="27">
                  <c:v>1598.3734951313543</c:v>
                </c:pt>
              </c:numCache>
            </c:numRef>
          </c:yVal>
          <c:smooth val="1"/>
        </c:ser>
        <c:ser>
          <c:idx val="9"/>
          <c:order val="9"/>
          <c:tx>
            <c:v>A-5a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Control!$A$80:$A$88</c:f>
              <c:numCache>
                <c:ptCount val="9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</c:numCache>
            </c:numRef>
          </c:xVal>
          <c:yVal>
            <c:numRef>
              <c:f>Control!$AT$80:$AT$88</c:f>
              <c:numCache>
                <c:ptCount val="9"/>
                <c:pt idx="0">
                  <c:v>1598.3734951313543</c:v>
                </c:pt>
                <c:pt idx="1">
                  <c:v>1598.3734951313543</c:v>
                </c:pt>
                <c:pt idx="2">
                  <c:v>1598.3734951313543</c:v>
                </c:pt>
                <c:pt idx="3">
                  <c:v>1598.3734951313543</c:v>
                </c:pt>
                <c:pt idx="4">
                  <c:v>1598.3734951313543</c:v>
                </c:pt>
                <c:pt idx="5">
                  <c:v>1598.3734951313543</c:v>
                </c:pt>
                <c:pt idx="6">
                  <c:v>1598.3734951313543</c:v>
                </c:pt>
                <c:pt idx="7">
                  <c:v>1598.3734951313543</c:v>
                </c:pt>
                <c:pt idx="8">
                  <c:v>1598.3734951313543</c:v>
                </c:pt>
              </c:numCache>
            </c:numRef>
          </c:yVal>
          <c:smooth val="1"/>
        </c:ser>
        <c:axId val="24441208"/>
        <c:axId val="18644281"/>
      </c:scatterChart>
      <c:valAx>
        <c:axId val="24441208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644281"/>
        <c:crossesAt val="0.01"/>
        <c:crossBetween val="midCat"/>
        <c:dispUnits/>
        <c:majorUnit val="10"/>
        <c:minorUnit val="10"/>
      </c:valAx>
      <c:valAx>
        <c:axId val="18644281"/>
        <c:scaling>
          <c:logBase val="10"/>
          <c:orientation val="minMax"/>
          <c:max val="1000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4441208"/>
        <c:crossesAt val="0.0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6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215"/>
          <c:w val="0.9985"/>
          <c:h val="0.92975"/>
        </c:manualLayout>
      </c:layout>
      <c:scatterChart>
        <c:scatterStyle val="smooth"/>
        <c:varyColors val="0"/>
        <c:ser>
          <c:idx val="0"/>
          <c:order val="0"/>
          <c:tx>
            <c:v>1/B - V / m/s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Control!$Q$14:$Q$88</c:f>
              <c:numCache>
                <c:ptCount val="75"/>
                <c:pt idx="0">
                  <c:v>2.1898362151913937</c:v>
                </c:pt>
                <c:pt idx="1">
                  <c:v>3.290085167001137</c:v>
                </c:pt>
                <c:pt idx="2">
                  <c:v>4.396713354074445</c:v>
                </c:pt>
                <c:pt idx="3">
                  <c:v>6.6374709180821325</c:v>
                </c:pt>
                <c:pt idx="4">
                  <c:v>8.928556235612351</c:v>
                </c:pt>
                <c:pt idx="5">
                  <c:v>11.285853880886016</c:v>
                </c:pt>
                <c:pt idx="6">
                  <c:v>13.72454262867523</c:v>
                </c:pt>
                <c:pt idx="7">
                  <c:v>16.25898459208984</c:v>
                </c:pt>
                <c:pt idx="8">
                  <c:v>18.902648317993812</c:v>
                </c:pt>
                <c:pt idx="9">
                  <c:v>21.668064985424277</c:v>
                </c:pt>
                <c:pt idx="10">
                  <c:v>24.566814753863913</c:v>
                </c:pt>
                <c:pt idx="11">
                  <c:v>41.40237132040935</c:v>
                </c:pt>
                <c:pt idx="12">
                  <c:v>62.82496486154347</c:v>
                </c:pt>
                <c:pt idx="13">
                  <c:v>121.83520658784508</c:v>
                </c:pt>
                <c:pt idx="14">
                  <c:v>204.82570501668545</c:v>
                </c:pt>
                <c:pt idx="15">
                  <c:v>313.64905495235615</c:v>
                </c:pt>
                <c:pt idx="16">
                  <c:v>448.85994826598983</c:v>
                </c:pt>
                <c:pt idx="17">
                  <c:v>608.6621358168768</c:v>
                </c:pt>
                <c:pt idx="18">
                  <c:v>787.4743411640859</c:v>
                </c:pt>
                <c:pt idx="19">
                  <c:v>975.0885578135753</c:v>
                </c:pt>
                <c:pt idx="20">
                  <c:v>1157.7239782345298</c:v>
                </c:pt>
                <c:pt idx="21">
                  <c:v>1321.4749611245345</c:v>
                </c:pt>
                <c:pt idx="22">
                  <c:v>1456.5571085457864</c:v>
                </c:pt>
                <c:pt idx="23">
                  <c:v>1559.6005122954887</c:v>
                </c:pt>
                <c:pt idx="24">
                  <c:v>1632.8616343053657</c:v>
                </c:pt>
                <c:pt idx="25">
                  <c:v>1681.6835091522832</c:v>
                </c:pt>
                <c:pt idx="26">
                  <c:v>1739.327090887128</c:v>
                </c:pt>
                <c:pt idx="27">
                  <c:v>1686.3672844435955</c:v>
                </c:pt>
                <c:pt idx="28">
                  <c:v>1651.7718543788976</c:v>
                </c:pt>
                <c:pt idx="29">
                  <c:v>1633.5617904439018</c:v>
                </c:pt>
                <c:pt idx="30">
                  <c:v>1623.1628064849888</c:v>
                </c:pt>
                <c:pt idx="31">
                  <c:v>1616.7332015786756</c:v>
                </c:pt>
                <c:pt idx="32">
                  <c:v>1612.4990569730635</c:v>
                </c:pt>
                <c:pt idx="33">
                  <c:v>1609.5692388576426</c:v>
                </c:pt>
                <c:pt idx="34">
                  <c:v>1607.4604276000687</c:v>
                </c:pt>
                <c:pt idx="35">
                  <c:v>1602.4232540423704</c:v>
                </c:pt>
                <c:pt idx="36">
                  <c:v>1600.6464029420872</c:v>
                </c:pt>
                <c:pt idx="37">
                  <c:v>1599.3729566721988</c:v>
                </c:pt>
                <c:pt idx="38">
                  <c:v>1598.9264707470588</c:v>
                </c:pt>
                <c:pt idx="39">
                  <c:v>1598.7197321289043</c:v>
                </c:pt>
                <c:pt idx="40">
                  <c:v>1598.6074624321911</c:v>
                </c:pt>
                <c:pt idx="41">
                  <c:v>1598.5398287967214</c:v>
                </c:pt>
                <c:pt idx="42">
                  <c:v>1598.496003608534</c:v>
                </c:pt>
                <c:pt idx="43">
                  <c:v>1598.4660335487968</c:v>
                </c:pt>
                <c:pt idx="44">
                  <c:v>1598.4446751522441</c:v>
                </c:pt>
                <c:pt idx="45">
                  <c:v>1598.395023683158</c:v>
                </c:pt>
                <c:pt idx="46">
                  <c:v>1598.3791836035102</c:v>
                </c:pt>
                <c:pt idx="47">
                  <c:v>1598.3722667333793</c:v>
                </c:pt>
                <c:pt idx="48">
                  <c:v>1598.3760027684664</c:v>
                </c:pt>
                <c:pt idx="49">
                  <c:v>1598.384487086075</c:v>
                </c:pt>
                <c:pt idx="50">
                  <c:v>1598.3962626261323</c:v>
                </c:pt>
                <c:pt idx="51">
                  <c:v>1598.4108300919454</c:v>
                </c:pt>
                <c:pt idx="52">
                  <c:v>1598.4279808769047</c:v>
                </c:pt>
                <c:pt idx="53">
                  <c:v>1598.4476152778327</c:v>
                </c:pt>
                <c:pt idx="54">
                  <c:v>1598.4696807349494</c:v>
                </c:pt>
                <c:pt idx="55">
                  <c:v>1598.6157493561218</c:v>
                </c:pt>
                <c:pt idx="56">
                  <c:v>1598.8207596584298</c:v>
                </c:pt>
                <c:pt idx="57">
                  <c:v>1599.406741764773</c:v>
                </c:pt>
                <c:pt idx="58">
                  <c:v>1600.2268902662304</c:v>
                </c:pt>
                <c:pt idx="59">
                  <c:v>1601.2807864137778</c:v>
                </c:pt>
                <c:pt idx="60">
                  <c:v>1602.5679545171247</c:v>
                </c:pt>
                <c:pt idx="61">
                  <c:v>1604.0878280485426</c:v>
                </c:pt>
                <c:pt idx="62">
                  <c:v>1605.8397441888</c:v>
                </c:pt>
                <c:pt idx="63">
                  <c:v>1607.8229434327982</c:v>
                </c:pt>
                <c:pt idx="64">
                  <c:v>1610.0365705951779</c:v>
                </c:pt>
                <c:pt idx="65">
                  <c:v>1624.5247178559775</c:v>
                </c:pt>
                <c:pt idx="66">
                  <c:v>1644.5937177506553</c:v>
                </c:pt>
                <c:pt idx="67">
                  <c:v>1700.629224386115</c:v>
                </c:pt>
                <c:pt idx="68">
                  <c:v>1776.111350801487</c:v>
                </c:pt>
                <c:pt idx="69">
                  <c:v>1868.6850482107873</c:v>
                </c:pt>
                <c:pt idx="70">
                  <c:v>1975.94954268887</c:v>
                </c:pt>
                <c:pt idx="71">
                  <c:v>2095.6502303160423</c:v>
                </c:pt>
                <c:pt idx="72">
                  <c:v>2225.781590150746</c:v>
                </c:pt>
                <c:pt idx="73">
                  <c:v>2364.6221670514765</c:v>
                </c:pt>
                <c:pt idx="74">
                  <c:v>2510.7275450312623</c:v>
                </c:pt>
              </c:numCache>
            </c:numRef>
          </c:yVal>
          <c:smooth val="1"/>
        </c:ser>
        <c:ser>
          <c:idx val="2"/>
          <c:order val="1"/>
          <c:tx>
            <c:v>CLTF - V / m/s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Control!$AH$14:$AH$88</c:f>
              <c:numCache>
                <c:ptCount val="75"/>
                <c:pt idx="0">
                  <c:v>2.0066030582472805</c:v>
                </c:pt>
                <c:pt idx="1">
                  <c:v>3.0146255614328914</c:v>
                </c:pt>
                <c:pt idx="2">
                  <c:v>4.028295775289274</c:v>
                </c:pt>
                <c:pt idx="3">
                  <c:v>6.079969949679774</c:v>
                </c:pt>
                <c:pt idx="4">
                  <c:v>8.176131781866674</c:v>
                </c:pt>
                <c:pt idx="5">
                  <c:v>10.33073327609968</c:v>
                </c:pt>
                <c:pt idx="6">
                  <c:v>12.557029791222387</c:v>
                </c:pt>
                <c:pt idx="7">
                  <c:v>14.867468186797854</c:v>
                </c:pt>
                <c:pt idx="8">
                  <c:v>17.273607301441807</c:v>
                </c:pt>
                <c:pt idx="9">
                  <c:v>19.786070017152387</c:v>
                </c:pt>
                <c:pt idx="10">
                  <c:v>22.414524177477002</c:v>
                </c:pt>
                <c:pt idx="11">
                  <c:v>37.57040876060374</c:v>
                </c:pt>
                <c:pt idx="12">
                  <c:v>56.5784000740178</c:v>
                </c:pt>
                <c:pt idx="13">
                  <c:v>107.37080330652941</c:v>
                </c:pt>
                <c:pt idx="14">
                  <c:v>175.18190537639677</c:v>
                </c:pt>
                <c:pt idx="15">
                  <c:v>258.4106713578625</c:v>
                </c:pt>
                <c:pt idx="16">
                  <c:v>354.22118552382585</c:v>
                </c:pt>
                <c:pt idx="17">
                  <c:v>458.83942296635695</c:v>
                </c:pt>
                <c:pt idx="18">
                  <c:v>567.9118754931752</c:v>
                </c:pt>
                <c:pt idx="19">
                  <c:v>677.0095555136919</c:v>
                </c:pt>
                <c:pt idx="20">
                  <c:v>782.1751483602501</c:v>
                </c:pt>
                <c:pt idx="21">
                  <c:v>880.3520915934351</c:v>
                </c:pt>
                <c:pt idx="22">
                  <c:v>969.5828413982975</c:v>
                </c:pt>
                <c:pt idx="23">
                  <c:v>1048.9673343754353</c:v>
                </c:pt>
                <c:pt idx="24">
                  <c:v>1118.4574629927959</c:v>
                </c:pt>
                <c:pt idx="25">
                  <c:v>1178.5893634371523</c:v>
                </c:pt>
                <c:pt idx="26">
                  <c:v>1371.8295247153349</c:v>
                </c:pt>
                <c:pt idx="27">
                  <c:v>1507.676201492873</c:v>
                </c:pt>
                <c:pt idx="28">
                  <c:v>1549.3884442416922</c:v>
                </c:pt>
                <c:pt idx="29">
                  <c:v>1566.9553082018406</c:v>
                </c:pt>
                <c:pt idx="30">
                  <c:v>1575.9549288721923</c:v>
                </c:pt>
                <c:pt idx="31">
                  <c:v>1581.1826091198793</c:v>
                </c:pt>
                <c:pt idx="32">
                  <c:v>1584.4921445185287</c:v>
                </c:pt>
                <c:pt idx="33">
                  <c:v>1586.7221202658138</c:v>
                </c:pt>
                <c:pt idx="34">
                  <c:v>1588.2972688303441</c:v>
                </c:pt>
                <c:pt idx="35">
                  <c:v>1591.9579088167452</c:v>
                </c:pt>
                <c:pt idx="36">
                  <c:v>1593.2109053001577</c:v>
                </c:pt>
                <c:pt idx="37">
                  <c:v>1594.0819996974544</c:v>
                </c:pt>
                <c:pt idx="38">
                  <c:v>1594.3620681653647</c:v>
                </c:pt>
                <c:pt idx="39">
                  <c:v>1594.4657886061661</c:v>
                </c:pt>
                <c:pt idx="40">
                  <c:v>1594.4948423246076</c:v>
                </c:pt>
                <c:pt idx="41">
                  <c:v>1594.4839789584912</c:v>
                </c:pt>
                <c:pt idx="42">
                  <c:v>1594.447695463187</c:v>
                </c:pt>
                <c:pt idx="43">
                  <c:v>1594.392913655495</c:v>
                </c:pt>
                <c:pt idx="44">
                  <c:v>1594.3232792534106</c:v>
                </c:pt>
                <c:pt idx="45">
                  <c:v>1593.8024788374687</c:v>
                </c:pt>
                <c:pt idx="46">
                  <c:v>1593.0371196054666</c:v>
                </c:pt>
                <c:pt idx="47">
                  <c:v>1590.8300130057653</c:v>
                </c:pt>
                <c:pt idx="48">
                  <c:v>1587.7461109278697</c:v>
                </c:pt>
                <c:pt idx="49">
                  <c:v>1583.804598895646</c:v>
                </c:pt>
                <c:pt idx="50">
                  <c:v>1579.025540058224</c:v>
                </c:pt>
                <c:pt idx="51">
                  <c:v>1573.4320419026558</c:v>
                </c:pt>
                <c:pt idx="52">
                  <c:v>1567.050424422292</c:v>
                </c:pt>
                <c:pt idx="53">
                  <c:v>1559.910016922926</c:v>
                </c:pt>
                <c:pt idx="54">
                  <c:v>1552.0428443826402</c:v>
                </c:pt>
                <c:pt idx="55">
                  <c:v>1503.0686013330605</c:v>
                </c:pt>
                <c:pt idx="56">
                  <c:v>1441.628977267276</c:v>
                </c:pt>
                <c:pt idx="57">
                  <c:v>1300.2141218153308</c:v>
                </c:pt>
                <c:pt idx="58">
                  <c:v>1157.2644209590164</c:v>
                </c:pt>
                <c:pt idx="59">
                  <c:v>1027.4390235404378</c:v>
                </c:pt>
                <c:pt idx="60">
                  <c:v>915.0741698321943</c:v>
                </c:pt>
                <c:pt idx="61">
                  <c:v>819.6453493592865</c:v>
                </c:pt>
                <c:pt idx="62">
                  <c:v>738.9532271578028</c:v>
                </c:pt>
                <c:pt idx="63">
                  <c:v>670.533080296144</c:v>
                </c:pt>
                <c:pt idx="64">
                  <c:v>612.1635115688625</c:v>
                </c:pt>
                <c:pt idx="65">
                  <c:v>417.67078533424285</c:v>
                </c:pt>
                <c:pt idx="66">
                  <c:v>309.6491731950168</c:v>
                </c:pt>
                <c:pt idx="67">
                  <c:v>194.46557441915226</c:v>
                </c:pt>
                <c:pt idx="68">
                  <c:v>134.5689309872892</c:v>
                </c:pt>
                <c:pt idx="69">
                  <c:v>98.56428519264254</c:v>
                </c:pt>
                <c:pt idx="70">
                  <c:v>75.0889513725505</c:v>
                </c:pt>
                <c:pt idx="71">
                  <c:v>58.94008070832239</c:v>
                </c:pt>
                <c:pt idx="72">
                  <c:v>47.3825295427805</c:v>
                </c:pt>
                <c:pt idx="73">
                  <c:v>38.84777548764995</c:v>
                </c:pt>
                <c:pt idx="74">
                  <c:v>32.380629555512705</c:v>
                </c:pt>
              </c:numCache>
            </c:numRef>
          </c:yVal>
          <c:smooth val="1"/>
        </c:ser>
        <c:ser>
          <c:idx val="1"/>
          <c:order val="2"/>
          <c:tx>
            <c:v>A - V / m/s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Control!$Y$14:$Y$88</c:f>
              <c:numCache>
                <c:ptCount val="75"/>
                <c:pt idx="0">
                  <c:v>23.962369171240383</c:v>
                </c:pt>
                <c:pt idx="1">
                  <c:v>35.94355551809431</c:v>
                </c:pt>
                <c:pt idx="2">
                  <c:v>47.924743978429014</c:v>
                </c:pt>
                <c:pt idx="3">
                  <c:v>71.88713005751856</c:v>
                </c:pt>
                <c:pt idx="4">
                  <c:v>95.84953304447056</c:v>
                </c:pt>
                <c:pt idx="5">
                  <c:v>119.81195857525843</c:v>
                </c:pt>
                <c:pt idx="6">
                  <c:v>143.77441228587475</c:v>
                </c:pt>
                <c:pt idx="7">
                  <c:v>167.73689981233252</c:v>
                </c:pt>
                <c:pt idx="8">
                  <c:v>191.69942679067006</c:v>
                </c:pt>
                <c:pt idx="9">
                  <c:v>215.66199885695795</c:v>
                </c:pt>
                <c:pt idx="10">
                  <c:v>239.62462164729882</c:v>
                </c:pt>
                <c:pt idx="11">
                  <c:v>359.43869372642547</c:v>
                </c:pt>
                <c:pt idx="12">
                  <c:v>479.254879349991</c:v>
                </c:pt>
                <c:pt idx="13">
                  <c:v>718.8964095962455</c:v>
                </c:pt>
                <c:pt idx="14">
                  <c:v>958.5548497398397</c:v>
                </c:pt>
                <c:pt idx="15">
                  <c:v>1198.2358384331374</c:v>
                </c:pt>
                <c:pt idx="16">
                  <c:v>1437.9450160602685</c:v>
                </c:pt>
                <c:pt idx="17">
                  <c:v>1677.6880251705982</c:v>
                </c:pt>
                <c:pt idx="18">
                  <c:v>1917.4705109124995</c:v>
                </c:pt>
                <c:pt idx="19">
                  <c:v>2157.298121467559</c:v>
                </c:pt>
                <c:pt idx="20">
                  <c:v>2397.1765084853037</c:v>
                </c:pt>
                <c:pt idx="21">
                  <c:v>2637.111327518377</c:v>
                </c:pt>
                <c:pt idx="22">
                  <c:v>2877.1082384584347</c:v>
                </c:pt>
                <c:pt idx="23">
                  <c:v>3117.1729059726185</c:v>
                </c:pt>
                <c:pt idx="24">
                  <c:v>3357.3109999409476</c:v>
                </c:pt>
                <c:pt idx="25">
                  <c:v>3597.5281958943</c:v>
                </c:pt>
                <c:pt idx="26">
                  <c:v>4799.999799982063</c:v>
                </c:pt>
                <c:pt idx="27">
                  <c:v>7214.160160746632</c:v>
                </c:pt>
                <c:pt idx="28">
                  <c:v>9645.435573565172</c:v>
                </c:pt>
                <c:pt idx="29">
                  <c:v>12099.737309481832</c:v>
                </c:pt>
                <c:pt idx="30">
                  <c:v>14583.157663827209</c:v>
                </c:pt>
                <c:pt idx="31">
                  <c:v>17102.020640444</c:v>
                </c:pt>
                <c:pt idx="32">
                  <c:v>19662.936468983815</c:v>
                </c:pt>
                <c:pt idx="33">
                  <c:v>22272.860947380024</c:v>
                </c:pt>
                <c:pt idx="34">
                  <c:v>24939.16073959607</c:v>
                </c:pt>
                <c:pt idx="35">
                  <c:v>39412.831244311434</c:v>
                </c:pt>
                <c:pt idx="36">
                  <c:v>56796.25688433927</c:v>
                </c:pt>
                <c:pt idx="37">
                  <c:v>110399.73098989094</c:v>
                </c:pt>
                <c:pt idx="38">
                  <c:v>243300.9381207941</c:v>
                </c:pt>
                <c:pt idx="39">
                  <c:v>599059.018065002</c:v>
                </c:pt>
                <c:pt idx="40">
                  <c:v>286860.64764949534</c:v>
                </c:pt>
                <c:pt idx="41">
                  <c:v>167736.47459564515</c:v>
                </c:pt>
                <c:pt idx="42">
                  <c:v>120377.34257451637</c:v>
                </c:pt>
                <c:pt idx="43">
                  <c:v>95057.47728153947</c:v>
                </c:pt>
                <c:pt idx="44">
                  <c:v>79173.7939472502</c:v>
                </c:pt>
                <c:pt idx="45">
                  <c:v>44803.48063097396</c:v>
                </c:pt>
                <c:pt idx="46">
                  <c:v>31904.32129776282</c:v>
                </c:pt>
                <c:pt idx="47">
                  <c:v>20526.879823137555</c:v>
                </c:pt>
                <c:pt idx="48">
                  <c:v>15208.992820649739</c:v>
                </c:pt>
                <c:pt idx="49">
                  <c:v>12099.358184042621</c:v>
                </c:pt>
                <c:pt idx="50">
                  <c:v>10052.271193751421</c:v>
                </c:pt>
                <c:pt idx="51">
                  <c:v>8600.460899791791</c:v>
                </c:pt>
                <c:pt idx="52">
                  <c:v>7516.410880000765</c:v>
                </c:pt>
                <c:pt idx="53">
                  <c:v>6675.728417027329</c:v>
                </c:pt>
                <c:pt idx="54">
                  <c:v>6004.551673932143</c:v>
                </c:pt>
                <c:pt idx="55">
                  <c:v>3996.954258347527</c:v>
                </c:pt>
                <c:pt idx="56">
                  <c:v>2995.6300940114306</c:v>
                </c:pt>
                <c:pt idx="57">
                  <c:v>1995.1581520244001</c:v>
                </c:pt>
                <c:pt idx="58">
                  <c:v>1494.8821963513938</c:v>
                </c:pt>
                <c:pt idx="59">
                  <c:v>1194.4983703977955</c:v>
                </c:pt>
                <c:pt idx="60">
                  <c:v>994.0243376582113</c:v>
                </c:pt>
                <c:pt idx="61">
                  <c:v>850.6328132817658</c:v>
                </c:pt>
                <c:pt idx="62">
                  <c:v>742.9163307405022</c:v>
                </c:pt>
                <c:pt idx="63">
                  <c:v>658.9841051354376</c:v>
                </c:pt>
                <c:pt idx="64">
                  <c:v>591.702692744008</c:v>
                </c:pt>
                <c:pt idx="65">
                  <c:v>388.56824454454573</c:v>
                </c:pt>
                <c:pt idx="66">
                  <c:v>285.5554845570733</c:v>
                </c:pt>
                <c:pt idx="67">
                  <c:v>180.37210999648178</c:v>
                </c:pt>
                <c:pt idx="68">
                  <c:v>126.52368309668799</c:v>
                </c:pt>
                <c:pt idx="69">
                  <c:v>93.93739464056807</c:v>
                </c:pt>
                <c:pt idx="70">
                  <c:v>72.38567658501051</c:v>
                </c:pt>
                <c:pt idx="71">
                  <c:v>57.32850784458513</c:v>
                </c:pt>
                <c:pt idx="72">
                  <c:v>46.399939568873506</c:v>
                </c:pt>
                <c:pt idx="73">
                  <c:v>38.23454012145414</c:v>
                </c:pt>
                <c:pt idx="74">
                  <c:v>31.98892547712797</c:v>
                </c:pt>
              </c:numCache>
            </c:numRef>
          </c:yVal>
          <c:smooth val="1"/>
        </c:ser>
        <c:ser>
          <c:idx val="3"/>
          <c:order val="3"/>
          <c:tx>
            <c:v>Loop Gain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Control!$AA$14:$AA$88</c:f>
              <c:numCache>
                <c:ptCount val="75"/>
                <c:pt idx="0">
                  <c:v>10.9425394488446</c:v>
                </c:pt>
                <c:pt idx="1">
                  <c:v>10.924810056165319</c:v>
                </c:pt>
                <c:pt idx="2">
                  <c:v>10.900129282709997</c:v>
                </c:pt>
                <c:pt idx="3">
                  <c:v>10.830500192728556</c:v>
                </c:pt>
                <c:pt idx="4">
                  <c:v>10.735165968061706</c:v>
                </c:pt>
                <c:pt idx="5">
                  <c:v>10.616118181201616</c:v>
                </c:pt>
                <c:pt idx="6">
                  <c:v>10.475716107688784</c:v>
                </c:pt>
                <c:pt idx="7">
                  <c:v>10.316566748820112</c:v>
                </c:pt>
                <c:pt idx="8">
                  <c:v>10.141405773718361</c:v>
                </c:pt>
                <c:pt idx="9">
                  <c:v>9.952988372613335</c:v>
                </c:pt>
                <c:pt idx="10">
                  <c:v>9.753996358425354</c:v>
                </c:pt>
                <c:pt idx="11">
                  <c:v>8.681596784511706</c:v>
                </c:pt>
                <c:pt idx="12">
                  <c:v>7.628414602478407</c:v>
                </c:pt>
                <c:pt idx="13">
                  <c:v>5.900563800315883</c:v>
                </c:pt>
                <c:pt idx="14">
                  <c:v>4.679856220496127</c:v>
                </c:pt>
                <c:pt idx="15">
                  <c:v>3.820307504561591</c:v>
                </c:pt>
                <c:pt idx="16">
                  <c:v>3.2035493957864944</c:v>
                </c:pt>
                <c:pt idx="17">
                  <c:v>2.7563535275921143</c:v>
                </c:pt>
                <c:pt idx="18">
                  <c:v>2.434962525989098</c:v>
                </c:pt>
                <c:pt idx="19">
                  <c:v>2.2124125077468184</c:v>
                </c:pt>
                <c:pt idx="20">
                  <c:v>2.070594160225368</c:v>
                </c:pt>
                <c:pt idx="21">
                  <c:v>1.9955817590930927</c:v>
                </c:pt>
                <c:pt idx="22">
                  <c:v>1.9752800776420691</c:v>
                </c:pt>
                <c:pt idx="23">
                  <c:v>1.9986995909514225</c:v>
                </c:pt>
                <c:pt idx="24">
                  <c:v>2.0560903198446296</c:v>
                </c:pt>
                <c:pt idx="25">
                  <c:v>2.1392421203605516</c:v>
                </c:pt>
                <c:pt idx="26">
                  <c:v>2.759687827051476</c:v>
                </c:pt>
                <c:pt idx="27">
                  <c:v>4.277929385428567</c:v>
                </c:pt>
                <c:pt idx="28">
                  <c:v>5.839447831729806</c:v>
                </c:pt>
                <c:pt idx="29">
                  <c:v>7.4069664093905265</c:v>
                </c:pt>
                <c:pt idx="30">
                  <c:v>8.984408468185336</c:v>
                </c:pt>
                <c:pt idx="31">
                  <c:v>10.578134118693542</c:v>
                </c:pt>
                <c:pt idx="32">
                  <c:v>12.194076259427144</c:v>
                </c:pt>
                <c:pt idx="33">
                  <c:v>13.83777746845343</c:v>
                </c:pt>
                <c:pt idx="34">
                  <c:v>15.514634333381448</c:v>
                </c:pt>
                <c:pt idx="35">
                  <c:v>24.59576840568575</c:v>
                </c:pt>
                <c:pt idx="36">
                  <c:v>35.48332522407467</c:v>
                </c:pt>
                <c:pt idx="37">
                  <c:v>69.02688364795084</c:v>
                </c:pt>
                <c:pt idx="38">
                  <c:v>152.1651824346351</c:v>
                </c:pt>
                <c:pt idx="39">
                  <c:v>374.7117183993699</c:v>
                </c:pt>
                <c:pt idx="40">
                  <c:v>179.44408142137235</c:v>
                </c:pt>
                <c:pt idx="41">
                  <c:v>104.93105744003051</c:v>
                </c:pt>
                <c:pt idx="42">
                  <c:v>75.30662716876982</c:v>
                </c:pt>
                <c:pt idx="43">
                  <c:v>59.46793693857848</c:v>
                </c:pt>
                <c:pt idx="44">
                  <c:v>49.53176996239122</c:v>
                </c:pt>
                <c:pt idx="45">
                  <c:v>28.030292866987224</c:v>
                </c:pt>
                <c:pt idx="46">
                  <c:v>19.960420922046307</c:v>
                </c:pt>
                <c:pt idx="47">
                  <c:v>12.842364854771102</c:v>
                </c:pt>
                <c:pt idx="48">
                  <c:v>9.51527850412357</c:v>
                </c:pt>
                <c:pt idx="49">
                  <c:v>7.569741999999188</c:v>
                </c:pt>
                <c:pt idx="50">
                  <c:v>6.288973159406513</c:v>
                </c:pt>
                <c:pt idx="51">
                  <c:v>5.380632274180141</c:v>
                </c:pt>
                <c:pt idx="52">
                  <c:v>4.702376941548051</c:v>
                </c:pt>
                <c:pt idx="53">
                  <c:v>4.176382355743942</c:v>
                </c:pt>
                <c:pt idx="54">
                  <c:v>3.75643763926217</c:v>
                </c:pt>
                <c:pt idx="55">
                  <c:v>2.500259527630316</c:v>
                </c:pt>
                <c:pt idx="56">
                  <c:v>1.8736497358537043</c:v>
                </c:pt>
                <c:pt idx="57">
                  <c:v>1.2474363774551582</c:v>
                </c:pt>
                <c:pt idx="58">
                  <c:v>0.9341689015753817</c:v>
                </c:pt>
                <c:pt idx="59">
                  <c:v>0.7459643433760234</c:v>
                </c:pt>
                <c:pt idx="60">
                  <c:v>0.6202696958068931</c:v>
                </c:pt>
                <c:pt idx="61">
                  <c:v>0.5302906726227116</c:v>
                </c:pt>
                <c:pt idx="62">
                  <c:v>0.46263416597388474</c:v>
                </c:pt>
                <c:pt idx="63">
                  <c:v>0.40986111550844456</c:v>
                </c:pt>
                <c:pt idx="64">
                  <c:v>0.3675088526251769</c:v>
                </c:pt>
                <c:pt idx="65">
                  <c:v>0.2391888779983425</c:v>
                </c:pt>
                <c:pt idx="66">
                  <c:v>0.1736328440726582</c:v>
                </c:pt>
                <c:pt idx="67">
                  <c:v>0.10606198424091623</c:v>
                </c:pt>
                <c:pt idx="68">
                  <c:v>0.07123634621196079</c:v>
                </c:pt>
                <c:pt idx="69">
                  <c:v>0.05026924934756153</c:v>
                </c:pt>
                <c:pt idx="70">
                  <c:v>0.036633362857286376</c:v>
                </c:pt>
                <c:pt idx="71">
                  <c:v>0.02735595235085554</c:v>
                </c:pt>
                <c:pt idx="72">
                  <c:v>0.020846582510250247</c:v>
                </c:pt>
                <c:pt idx="73">
                  <c:v>0.01616940780400875</c:v>
                </c:pt>
                <c:pt idx="74">
                  <c:v>0.012740898764756103</c:v>
                </c:pt>
              </c:numCache>
            </c:numRef>
          </c:yVal>
          <c:smooth val="1"/>
        </c:ser>
        <c:ser>
          <c:idx val="4"/>
          <c:order val="4"/>
          <c:tx>
            <c:v>Mod. to A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Control!$AV$14:$AV$88</c:f>
              <c:numCache>
                <c:ptCount val="7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</c:numCache>
            </c:numRef>
          </c:yVal>
          <c:smooth val="1"/>
        </c:ser>
        <c:ser>
          <c:idx val="5"/>
          <c:order val="5"/>
          <c:tx>
            <c:v>VBB Response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Control!$AN$14:$AN$88</c:f>
              <c:numCache>
                <c:ptCount val="75"/>
                <c:pt idx="0">
                  <c:v>0.10123809031078963</c:v>
                </c:pt>
                <c:pt idx="1">
                  <c:v>0.22778088987744238</c:v>
                </c:pt>
                <c:pt idx="2">
                  <c:v>0.4049318210318348</c:v>
                </c:pt>
                <c:pt idx="3">
                  <c:v>0.9110195137541204</c:v>
                </c:pt>
                <c:pt idx="4">
                  <c:v>1.619398178729916</c:v>
                </c:pt>
                <c:pt idx="5">
                  <c:v>2.5299232269180463</c:v>
                </c:pt>
                <c:pt idx="6">
                  <c:v>3.6424080681373825</c:v>
                </c:pt>
                <c:pt idx="7">
                  <c:v>4.956623596621559</c:v>
                </c:pt>
                <c:pt idx="8">
                  <c:v>6.472297565643102</c:v>
                </c:pt>
                <c:pt idx="9">
                  <c:v>8.189113853250117</c:v>
                </c:pt>
                <c:pt idx="10">
                  <c:v>10.106711621542539</c:v>
                </c:pt>
                <c:pt idx="11">
                  <c:v>22.69053593453992</c:v>
                </c:pt>
                <c:pt idx="12">
                  <c:v>40.212135764121065</c:v>
                </c:pt>
                <c:pt idx="13">
                  <c:v>89.61901189905217</c:v>
                </c:pt>
                <c:pt idx="14">
                  <c:v>157.0073935961669</c:v>
                </c:pt>
                <c:pt idx="15">
                  <c:v>240.26582626551462</c:v>
                </c:pt>
                <c:pt idx="16">
                  <c:v>336.3862750033457</c:v>
                </c:pt>
                <c:pt idx="17">
                  <c:v>441.5243851181538</c:v>
                </c:pt>
                <c:pt idx="18">
                  <c:v>551.2856075213098</c:v>
                </c:pt>
                <c:pt idx="19">
                  <c:v>661.2047411345081</c:v>
                </c:pt>
                <c:pt idx="20">
                  <c:v>767.2862609724234</c:v>
                </c:pt>
                <c:pt idx="21">
                  <c:v>866.4341767201855</c:v>
                </c:pt>
                <c:pt idx="22">
                  <c:v>956.6538201425374</c:v>
                </c:pt>
                <c:pt idx="23">
                  <c:v>1037.0136966056589</c:v>
                </c:pt>
                <c:pt idx="24">
                  <c:v>1107.4418556942467</c:v>
                </c:pt>
                <c:pt idx="25">
                  <c:v>1168.4584119276717</c:v>
                </c:pt>
                <c:pt idx="26">
                  <c:v>1365.1589744843125</c:v>
                </c:pt>
                <c:pt idx="27">
                  <c:v>1504.4046905075147</c:v>
                </c:pt>
                <c:pt idx="28">
                  <c:v>1547.4946112931025</c:v>
                </c:pt>
                <c:pt idx="29">
                  <c:v>1565.728703590211</c:v>
                </c:pt>
                <c:pt idx="30">
                  <c:v>1575.0979204418995</c:v>
                </c:pt>
                <c:pt idx="31">
                  <c:v>1580.5507449450802</c:v>
                </c:pt>
                <c:pt idx="32">
                  <c:v>1584.0072928315824</c:v>
                </c:pt>
                <c:pt idx="33">
                  <c:v>1586.338451463041</c:v>
                </c:pt>
                <c:pt idx="34">
                  <c:v>1587.9861671577921</c:v>
                </c:pt>
                <c:pt idx="35">
                  <c:v>1591.8193001104041</c:v>
                </c:pt>
                <c:pt idx="36">
                  <c:v>1593.132872077755</c:v>
                </c:pt>
                <c:pt idx="37">
                  <c:v>1594.0472978867092</c:v>
                </c:pt>
                <c:pt idx="38">
                  <c:v>1594.3425446884337</c:v>
                </c:pt>
                <c:pt idx="39">
                  <c:v>1594.4532926854451</c:v>
                </c:pt>
                <c:pt idx="40">
                  <c:v>1594.4861644125888</c:v>
                </c:pt>
                <c:pt idx="41">
                  <c:v>1594.4776033792912</c:v>
                </c:pt>
                <c:pt idx="42">
                  <c:v>1594.4428142645806</c:v>
                </c:pt>
                <c:pt idx="43">
                  <c:v>1594.3890570347696</c:v>
                </c:pt>
                <c:pt idx="44">
                  <c:v>1594.3201555249066</c:v>
                </c:pt>
                <c:pt idx="45">
                  <c:v>1593.8010909649263</c:v>
                </c:pt>
                <c:pt idx="46">
                  <c:v>1593.0363393016094</c:v>
                </c:pt>
                <c:pt idx="47">
                  <c:v>1590.8296666843887</c:v>
                </c:pt>
                <c:pt idx="48">
                  <c:v>1587.7459164997074</c:v>
                </c:pt>
                <c:pt idx="49">
                  <c:v>1583.80447477052</c:v>
                </c:pt>
                <c:pt idx="50">
                  <c:v>1579.0254541203137</c:v>
                </c:pt>
                <c:pt idx="51">
                  <c:v>1573.4319789882618</c:v>
                </c:pt>
                <c:pt idx="52">
                  <c:v>1567.0503764488155</c:v>
                </c:pt>
                <c:pt idx="53">
                  <c:v>1559.9099791906788</c:v>
                </c:pt>
                <c:pt idx="54">
                  <c:v>1552.0428139736557</c:v>
                </c:pt>
                <c:pt idx="55">
                  <c:v>1503.0685882444204</c:v>
                </c:pt>
                <c:pt idx="56">
                  <c:v>1441.628970205865</c:v>
                </c:pt>
                <c:pt idx="57">
                  <c:v>1300.214118984785</c:v>
                </c:pt>
                <c:pt idx="58">
                  <c:v>1157.264419541883</c:v>
                </c:pt>
                <c:pt idx="59">
                  <c:v>1027.4390227352185</c:v>
                </c:pt>
                <c:pt idx="60">
                  <c:v>915.074169334169</c:v>
                </c:pt>
                <c:pt idx="61">
                  <c:v>819.6453490315478</c:v>
                </c:pt>
                <c:pt idx="62">
                  <c:v>738.9532269315805</c:v>
                </c:pt>
                <c:pt idx="63">
                  <c:v>670.5330801339505</c:v>
                </c:pt>
                <c:pt idx="64">
                  <c:v>612.1635114489217</c:v>
                </c:pt>
                <c:pt idx="65">
                  <c:v>417.67078529787227</c:v>
                </c:pt>
                <c:pt idx="66">
                  <c:v>309.64917317984987</c:v>
                </c:pt>
                <c:pt idx="67">
                  <c:v>194.4655744149192</c:v>
                </c:pt>
                <c:pt idx="68">
                  <c:v>134.568930985641</c:v>
                </c:pt>
                <c:pt idx="69">
                  <c:v>98.5642851918701</c:v>
                </c:pt>
                <c:pt idx="70">
                  <c:v>75.08895137214178</c:v>
                </c:pt>
                <c:pt idx="71">
                  <c:v>58.94008070808672</c:v>
                </c:pt>
                <c:pt idx="72">
                  <c:v>47.38252954263548</c:v>
                </c:pt>
                <c:pt idx="73">
                  <c:v>38.84777548755597</c:v>
                </c:pt>
                <c:pt idx="74">
                  <c:v>32.380629555449254</c:v>
                </c:pt>
              </c:numCache>
            </c:numRef>
          </c:yVal>
          <c:smooth val="1"/>
        </c:ser>
        <c:axId val="33580802"/>
        <c:axId val="33791763"/>
      </c:scatterChart>
      <c:valAx>
        <c:axId val="33580802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791763"/>
        <c:crossesAt val="0.01"/>
        <c:crossBetween val="midCat"/>
        <c:dispUnits/>
        <c:majorUnit val="10"/>
        <c:minorUnit val="10"/>
      </c:valAx>
      <c:valAx>
        <c:axId val="33791763"/>
        <c:scaling>
          <c:logBase val="10"/>
          <c:orientation val="minMax"/>
          <c:max val="1000000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580802"/>
        <c:crossesAt val="0.0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25"/>
          <c:y val="0.058"/>
          <c:w val="0.17675"/>
          <c:h val="0.15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Phase of Loop Gain
Arg (AB)</a:t>
            </a:r>
          </a:p>
        </c:rich>
      </c:tx>
      <c:layout>
        <c:manualLayout>
          <c:xMode val="factor"/>
          <c:yMode val="factor"/>
          <c:x val="-0.061"/>
          <c:y val="0.089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55"/>
          <c:y val="0.02375"/>
          <c:w val="0.942"/>
          <c:h val="0.924"/>
        </c:manualLayout>
      </c:layout>
      <c:scatterChart>
        <c:scatterStyle val="smoothMarker"/>
        <c:varyColors val="0"/>
        <c:ser>
          <c:idx val="0"/>
          <c:order val="0"/>
          <c:tx>
            <c:v>Loop Phase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Control!$AB$14:$AB$88</c:f>
              <c:numCache>
                <c:ptCount val="75"/>
                <c:pt idx="0">
                  <c:v>-2.3656790156937</c:v>
                </c:pt>
                <c:pt idx="1">
                  <c:v>-3.5438845258132</c:v>
                </c:pt>
                <c:pt idx="2">
                  <c:v>-4.716568303092421</c:v>
                </c:pt>
                <c:pt idx="3">
                  <c:v>-7.038319193746362</c:v>
                </c:pt>
                <c:pt idx="4">
                  <c:v>-9.31743248050979</c:v>
                </c:pt>
                <c:pt idx="5">
                  <c:v>-11.541605925211234</c:v>
                </c:pt>
                <c:pt idx="6">
                  <c:v>-13.70000054383735</c:v>
                </c:pt>
                <c:pt idx="7">
                  <c:v>-15.783415136711024</c:v>
                </c:pt>
                <c:pt idx="8">
                  <c:v>-17.7843684212878</c:v>
                </c:pt>
                <c:pt idx="9">
                  <c:v>-19.697096564961175</c:v>
                </c:pt>
                <c:pt idx="10">
                  <c:v>-21.517479917115132</c:v>
                </c:pt>
                <c:pt idx="11">
                  <c:v>-29.18665940095854</c:v>
                </c:pt>
                <c:pt idx="12">
                  <c:v>-34.596904406638615</c:v>
                </c:pt>
                <c:pt idx="13">
                  <c:v>-40.20892353322778</c:v>
                </c:pt>
                <c:pt idx="14">
                  <c:v>-41.22963545437582</c:v>
                </c:pt>
                <c:pt idx="15">
                  <c:v>-39.37232963838943</c:v>
                </c:pt>
                <c:pt idx="16">
                  <c:v>-35.49493577893385</c:v>
                </c:pt>
                <c:pt idx="17">
                  <c:v>-30.05330516170798</c:v>
                </c:pt>
                <c:pt idx="18">
                  <c:v>-23.361000323126955</c:v>
                </c:pt>
                <c:pt idx="19">
                  <c:v>-15.73163985939219</c:v>
                </c:pt>
                <c:pt idx="20">
                  <c:v>-7.54086493299918</c:v>
                </c:pt>
                <c:pt idx="21">
                  <c:v>0.7871084069495613</c:v>
                </c:pt>
                <c:pt idx="22">
                  <c:v>8.849109389893666</c:v>
                </c:pt>
                <c:pt idx="23">
                  <c:v>16.339251856293714</c:v>
                </c:pt>
                <c:pt idx="24">
                  <c:v>23.084966617259287</c:v>
                </c:pt>
                <c:pt idx="25">
                  <c:v>29.034433235941624</c:v>
                </c:pt>
                <c:pt idx="26">
                  <c:v>48.91843716948853</c:v>
                </c:pt>
                <c:pt idx="27">
                  <c:v>65.1533307508507</c:v>
                </c:pt>
                <c:pt idx="28">
                  <c:v>71.7602061497235</c:v>
                </c:pt>
                <c:pt idx="29">
                  <c:v>75.28358254944979</c:v>
                </c:pt>
                <c:pt idx="30">
                  <c:v>77.43730853530495</c:v>
                </c:pt>
                <c:pt idx="31">
                  <c:v>78.85805319482716</c:v>
                </c:pt>
                <c:pt idx="32">
                  <c:v>79.83756268780976</c:v>
                </c:pt>
                <c:pt idx="33">
                  <c:v>80.52885572505366</c:v>
                </c:pt>
                <c:pt idx="34">
                  <c:v>81.0200342754763</c:v>
                </c:pt>
                <c:pt idx="35">
                  <c:v>81.84262976845147</c:v>
                </c:pt>
                <c:pt idx="36">
                  <c:v>81.2632053803309</c:v>
                </c:pt>
                <c:pt idx="37">
                  <c:v>77.15904355958169</c:v>
                </c:pt>
                <c:pt idx="38">
                  <c:v>64.34430749611282</c:v>
                </c:pt>
                <c:pt idx="39">
                  <c:v>-1.3830916113377734</c:v>
                </c:pt>
                <c:pt idx="40">
                  <c:v>-62.57134027576613</c:v>
                </c:pt>
                <c:pt idx="41">
                  <c:v>-74.78243587652857</c:v>
                </c:pt>
                <c:pt idx="42">
                  <c:v>-79.35011998782443</c:v>
                </c:pt>
                <c:pt idx="43">
                  <c:v>-81.7376419750099</c:v>
                </c:pt>
                <c:pt idx="44">
                  <c:v>-83.21680218955498</c:v>
                </c:pt>
                <c:pt idx="45">
                  <c:v>-86.38522586546226</c:v>
                </c:pt>
                <c:pt idx="46">
                  <c:v>-87.59300692459003</c:v>
                </c:pt>
                <c:pt idx="47">
                  <c:v>-88.73381002066002</c:v>
                </c:pt>
                <c:pt idx="48">
                  <c:v>-89.34850089270353</c:v>
                </c:pt>
                <c:pt idx="49">
                  <c:v>-89.7735441929514</c:v>
                </c:pt>
                <c:pt idx="50">
                  <c:v>-90.10776942691604</c:v>
                </c:pt>
                <c:pt idx="51">
                  <c:v>-90.39124249150558</c:v>
                </c:pt>
                <c:pt idx="52">
                  <c:v>-90.64340634770944</c:v>
                </c:pt>
                <c:pt idx="53">
                  <c:v>-90.87486915452072</c:v>
                </c:pt>
                <c:pt idx="54">
                  <c:v>-91.09192100612081</c:v>
                </c:pt>
                <c:pt idx="55">
                  <c:v>-92.06257542155444</c:v>
                </c:pt>
                <c:pt idx="56">
                  <c:v>-92.947589299487</c:v>
                </c:pt>
                <c:pt idx="57">
                  <c:v>-94.63154997142823</c:v>
                </c:pt>
                <c:pt idx="58">
                  <c:v>-96.27112954222319</c:v>
                </c:pt>
                <c:pt idx="59">
                  <c:v>-97.89114640656827</c:v>
                </c:pt>
                <c:pt idx="60">
                  <c:v>-99.49943681968867</c:v>
                </c:pt>
                <c:pt idx="61">
                  <c:v>-101.0989991145046</c:v>
                </c:pt>
                <c:pt idx="62">
                  <c:v>-102.691025476054</c:v>
                </c:pt>
                <c:pt idx="63">
                  <c:v>-104.27591267271566</c:v>
                </c:pt>
                <c:pt idx="64">
                  <c:v>-105.85366698146328</c:v>
                </c:pt>
                <c:pt idx="65">
                  <c:v>-113.62543217174894</c:v>
                </c:pt>
                <c:pt idx="66">
                  <c:v>-121.16534138249374</c:v>
                </c:pt>
                <c:pt idx="67">
                  <c:v>-135.3633305137569</c:v>
                </c:pt>
                <c:pt idx="68">
                  <c:v>-148.18816556414123</c:v>
                </c:pt>
                <c:pt idx="69">
                  <c:v>-159.56109608923532</c:v>
                </c:pt>
                <c:pt idx="70">
                  <c:v>-169.53437766282974</c:v>
                </c:pt>
                <c:pt idx="71">
                  <c:v>-178.23197303115302</c:v>
                </c:pt>
                <c:pt idx="72">
                  <c:v>174.19448492266434</c:v>
                </c:pt>
                <c:pt idx="73">
                  <c:v>167.59204779331247</c:v>
                </c:pt>
                <c:pt idx="74">
                  <c:v>161.81965847214735</c:v>
                </c:pt>
              </c:numCache>
            </c:numRef>
          </c:yVal>
          <c:smooth val="1"/>
        </c:ser>
        <c:ser>
          <c:idx val="1"/>
          <c:order val="1"/>
          <c:tx>
            <c:v>G.C. Freq.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noFill/>
              </a:ln>
            </c:spPr>
          </c:marker>
          <c:xVal>
            <c:numRef>
              <c:f>Control!$C$92:$C$93</c:f>
              <c:numCache>
                <c:ptCount val="2"/>
                <c:pt idx="0">
                  <c:v>37.38312092905644</c:v>
                </c:pt>
                <c:pt idx="1">
                  <c:v>37.38312092905644</c:v>
                </c:pt>
              </c:numCache>
            </c:numRef>
          </c:xVal>
          <c:yVal>
            <c:numRef>
              <c:f>Control!$D$92:$D$93</c:f>
              <c:numCache>
                <c:ptCount val="2"/>
                <c:pt idx="0">
                  <c:v>180</c:v>
                </c:pt>
                <c:pt idx="1">
                  <c:v>-95.84448798889301</c:v>
                </c:pt>
              </c:numCache>
            </c:numRef>
          </c:yVal>
          <c:smooth val="1"/>
        </c:ser>
        <c:ser>
          <c:idx val="2"/>
          <c:order val="2"/>
          <c:tx>
            <c:v>Phase Margin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Control!$C$96:$C$97</c:f>
              <c:numCache>
                <c:ptCount val="2"/>
                <c:pt idx="0">
                  <c:v>37.38312092905644</c:v>
                </c:pt>
                <c:pt idx="1">
                  <c:v>37.38312092905644</c:v>
                </c:pt>
              </c:numCache>
            </c:numRef>
          </c:xVal>
          <c:yVal>
            <c:numRef>
              <c:f>Control!$D$96:$D$97</c:f>
              <c:numCache>
                <c:ptCount val="2"/>
                <c:pt idx="0">
                  <c:v>-95.84448798889301</c:v>
                </c:pt>
                <c:pt idx="1">
                  <c:v>-180</c:v>
                </c:pt>
              </c:numCache>
            </c:numRef>
          </c:yVal>
          <c:smooth val="1"/>
        </c:ser>
        <c:axId val="35690412"/>
        <c:axId val="52778253"/>
      </c:scatterChart>
      <c:valAx>
        <c:axId val="3569041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2778253"/>
        <c:crossesAt val="-180"/>
        <c:crossBetween val="midCat"/>
        <c:dispUnits/>
      </c:valAx>
      <c:valAx>
        <c:axId val="52778253"/>
        <c:scaling>
          <c:orientation val="minMax"/>
          <c:max val="18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Phase Angle -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5690412"/>
        <c:crossesAt val="0.0001"/>
        <c:crossBetween val="midCat"/>
        <c:dispUnits/>
        <c:majorUnit val="6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7"/>
          <c:y val="0.20175"/>
          <c:w val="0.12025"/>
          <c:h val="0.07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855"/>
          <c:h val="0.92075"/>
        </c:manualLayout>
      </c:layout>
      <c:scatterChart>
        <c:scatterStyle val="line"/>
        <c:varyColors val="0"/>
        <c:ser>
          <c:idx val="4"/>
          <c:order val="0"/>
          <c:tx>
            <c:v>A - V/N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Control!$W$14:$W$88</c:f>
              <c:numCache>
                <c:ptCount val="75"/>
                <c:pt idx="0">
                  <c:v>76274.59003591501</c:v>
                </c:pt>
                <c:pt idx="1">
                  <c:v>76274.59377336907</c:v>
                </c:pt>
                <c:pt idx="2">
                  <c:v>76274.59900580524</c:v>
                </c:pt>
                <c:pt idx="3">
                  <c:v>76274.61395562696</c:v>
                </c:pt>
                <c:pt idx="4">
                  <c:v>76274.63488538728</c:v>
                </c:pt>
                <c:pt idx="5">
                  <c:v>76274.6617950951</c:v>
                </c:pt>
                <c:pt idx="6">
                  <c:v>76274.69468476364</c:v>
                </c:pt>
                <c:pt idx="7">
                  <c:v>76274.73355440782</c:v>
                </c:pt>
                <c:pt idx="8">
                  <c:v>76274.77840404512</c:v>
                </c:pt>
                <c:pt idx="9">
                  <c:v>76274.82923369676</c:v>
                </c:pt>
                <c:pt idx="10">
                  <c:v>76274.88604338559</c:v>
                </c:pt>
                <c:pt idx="11">
                  <c:v>76275.25979340593</c:v>
                </c:pt>
                <c:pt idx="12">
                  <c:v>76275.78304946098</c:v>
                </c:pt>
                <c:pt idx="13">
                  <c:v>76277.27810550555</c:v>
                </c:pt>
                <c:pt idx="14">
                  <c:v>76279.37128040224</c:v>
                </c:pt>
                <c:pt idx="15">
                  <c:v>76282.06267059818</c:v>
                </c:pt>
                <c:pt idx="16">
                  <c:v>76285.35240011552</c:v>
                </c:pt>
                <c:pt idx="17">
                  <c:v>76289.24062056595</c:v>
                </c:pt>
                <c:pt idx="18">
                  <c:v>76293.72751116658</c:v>
                </c:pt>
                <c:pt idx="19">
                  <c:v>76298.81327876047</c:v>
                </c:pt>
                <c:pt idx="20">
                  <c:v>76304.49815784137</c:v>
                </c:pt>
                <c:pt idx="21">
                  <c:v>76310.78241057818</c:v>
                </c:pt>
                <c:pt idx="22">
                  <c:v>76317.66632684591</c:v>
                </c:pt>
                <c:pt idx="23">
                  <c:v>76325.15022425694</c:v>
                </c:pt>
                <c:pt idx="24">
                  <c:v>76333.2344481994</c:v>
                </c:pt>
                <c:pt idx="25">
                  <c:v>76341.91937187283</c:v>
                </c:pt>
                <c:pt idx="26">
                  <c:v>76394.36950072543</c:v>
                </c:pt>
                <c:pt idx="27">
                  <c:v>76544.61665596325</c:v>
                </c:pt>
                <c:pt idx="28">
                  <c:v>76755.93749036538</c:v>
                </c:pt>
                <c:pt idx="29">
                  <c:v>77029.32011669855</c:v>
                </c:pt>
                <c:pt idx="30">
                  <c:v>77366.0542695519</c:v>
                </c:pt>
                <c:pt idx="31">
                  <c:v>77767.74633675096</c:v>
                </c:pt>
                <c:pt idx="32">
                  <c:v>78236.33836851681</c:v>
                </c:pt>
                <c:pt idx="33">
                  <c:v>78774.13147942146</c:v>
                </c:pt>
                <c:pt idx="34">
                  <c:v>79383.81416540087</c:v>
                </c:pt>
                <c:pt idx="35">
                  <c:v>83636.62551705148</c:v>
                </c:pt>
                <c:pt idx="36">
                  <c:v>90394.05032259686</c:v>
                </c:pt>
                <c:pt idx="37">
                  <c:v>117137.75268704433</c:v>
                </c:pt>
                <c:pt idx="38">
                  <c:v>193612.73480409867</c:v>
                </c:pt>
                <c:pt idx="39">
                  <c:v>381372.8157152884</c:v>
                </c:pt>
                <c:pt idx="40">
                  <c:v>152184.3001731989</c:v>
                </c:pt>
                <c:pt idx="41">
                  <c:v>76274.54019630015</c:v>
                </c:pt>
                <c:pt idx="42">
                  <c:v>47896.62276750186</c:v>
                </c:pt>
                <c:pt idx="43">
                  <c:v>33619.70530489455</c:v>
                </c:pt>
                <c:pt idx="44">
                  <c:v>25201.801340088106</c:v>
                </c:pt>
                <c:pt idx="45">
                  <c:v>9507.59388018866</c:v>
                </c:pt>
                <c:pt idx="46">
                  <c:v>5077.730440530986</c:v>
                </c:pt>
                <c:pt idx="47">
                  <c:v>2177.969593403755</c:v>
                </c:pt>
                <c:pt idx="48">
                  <c:v>1210.293193427777</c:v>
                </c:pt>
                <c:pt idx="49">
                  <c:v>770.2690652919047</c:v>
                </c:pt>
                <c:pt idx="50">
                  <c:v>533.2895499286021</c:v>
                </c:pt>
                <c:pt idx="51">
                  <c:v>391.08739002012385</c:v>
                </c:pt>
                <c:pt idx="52">
                  <c:v>299.0684864654562</c:v>
                </c:pt>
                <c:pt idx="53">
                  <c:v>236.10559473531845</c:v>
                </c:pt>
                <c:pt idx="54">
                  <c:v>191.130815991403</c:v>
                </c:pt>
                <c:pt idx="55">
                  <c:v>84.81800367042793</c:v>
                </c:pt>
                <c:pt idx="56">
                  <c:v>47.67693371367584</c:v>
                </c:pt>
                <c:pt idx="57">
                  <c:v>21.1692854763183</c:v>
                </c:pt>
                <c:pt idx="58">
                  <c:v>11.89589454446968</c:v>
                </c:pt>
                <c:pt idx="59">
                  <c:v>7.604412806560914</c:v>
                </c:pt>
                <c:pt idx="60">
                  <c:v>5.273462896398386</c:v>
                </c:pt>
                <c:pt idx="61">
                  <c:v>3.868069056855951</c:v>
                </c:pt>
                <c:pt idx="62">
                  <c:v>2.955970158526108</c:v>
                </c:pt>
                <c:pt idx="63">
                  <c:v>2.3306795055843144</c:v>
                </c:pt>
                <c:pt idx="64">
                  <c:v>1.8834481678198765</c:v>
                </c:pt>
                <c:pt idx="65">
                  <c:v>0.824567424637398</c:v>
                </c:pt>
                <c:pt idx="66">
                  <c:v>0.454475668942596</c:v>
                </c:pt>
                <c:pt idx="67">
                  <c:v>0.19138075267903432</c:v>
                </c:pt>
                <c:pt idx="68">
                  <c:v>0.10068434791515188</c:v>
                </c:pt>
                <c:pt idx="69">
                  <c:v>0.059802402792882105</c:v>
                </c:pt>
                <c:pt idx="70">
                  <c:v>0.038401794125185636</c:v>
                </c:pt>
                <c:pt idx="71">
                  <c:v>0.026068901152994924</c:v>
                </c:pt>
                <c:pt idx="72">
                  <c:v>0.018461949353878612</c:v>
                </c:pt>
                <c:pt idx="73">
                  <c:v>0.013522702349277384</c:v>
                </c:pt>
                <c:pt idx="74">
                  <c:v>0.010182391227766367</c:v>
                </c:pt>
              </c:numCache>
            </c:numRef>
          </c:yVal>
          <c:smooth val="0"/>
        </c:ser>
        <c:ser>
          <c:idx val="1"/>
          <c:order val="1"/>
          <c:tx>
            <c:v>1/B - V/N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Control!$O$14:$O$88</c:f>
              <c:numCache>
                <c:ptCount val="75"/>
                <c:pt idx="0">
                  <c:v>6970.465164187155</c:v>
                </c:pt>
                <c:pt idx="1">
                  <c:v>6981.777566954065</c:v>
                </c:pt>
                <c:pt idx="2">
                  <c:v>6997.586636590947</c:v>
                </c:pt>
                <c:pt idx="3">
                  <c:v>7042.575374943147</c:v>
                </c:pt>
                <c:pt idx="4">
                  <c:v>7105.119297858356</c:v>
                </c:pt>
                <c:pt idx="5">
                  <c:v>7184.79772862344</c:v>
                </c:pt>
                <c:pt idx="6">
                  <c:v>7281.096003430326</c:v>
                </c:pt>
                <c:pt idx="7">
                  <c:v>7393.422192817319</c:v>
                </c:pt>
                <c:pt idx="8">
                  <c:v>7521.1247933410405</c:v>
                </c:pt>
                <c:pt idx="9">
                  <c:v>7663.510332592647</c:v>
                </c:pt>
                <c:pt idx="10">
                  <c:v>7819.8600082006915</c:v>
                </c:pt>
                <c:pt idx="11">
                  <c:v>8785.85606849236</c:v>
                </c:pt>
                <c:pt idx="12">
                  <c:v>9998.903707289275</c:v>
                </c:pt>
                <c:pt idx="13">
                  <c:v>12927.116914051863</c:v>
                </c:pt>
                <c:pt idx="14">
                  <c:v>16299.511712843956</c:v>
                </c:pt>
                <c:pt idx="15">
                  <c:v>19967.518996707597</c:v>
                </c:pt>
                <c:pt idx="16">
                  <c:v>23812.7598408349</c:v>
                </c:pt>
                <c:pt idx="17">
                  <c:v>27677.59645375043</c:v>
                </c:pt>
                <c:pt idx="18">
                  <c:v>31332.608488574464</c:v>
                </c:pt>
                <c:pt idx="19">
                  <c:v>34486.70309519509</c:v>
                </c:pt>
                <c:pt idx="20">
                  <c:v>36851.49877440785</c:v>
                </c:pt>
                <c:pt idx="21">
                  <c:v>38239.86767911635</c:v>
                </c:pt>
                <c:pt idx="22">
                  <c:v>38636.377286783376</c:v>
                </c:pt>
                <c:pt idx="23">
                  <c:v>38187.40473545836</c:v>
                </c:pt>
                <c:pt idx="24">
                  <c:v>37125.4286406871</c:v>
                </c:pt>
                <c:pt idx="25">
                  <c:v>35686.4324263614</c:v>
                </c:pt>
                <c:pt idx="26">
                  <c:v>27682.25041683327</c:v>
                </c:pt>
                <c:pt idx="27">
                  <c:v>17892.912612510303</c:v>
                </c:pt>
                <c:pt idx="28">
                  <c:v>13144.382774223393</c:v>
                </c:pt>
                <c:pt idx="29">
                  <c:v>10399.577351807755</c:v>
                </c:pt>
                <c:pt idx="30">
                  <c:v>8611.146136499985</c:v>
                </c:pt>
                <c:pt idx="31">
                  <c:v>7351.745162629481</c:v>
                </c:pt>
                <c:pt idx="32">
                  <c:v>6415.92989120707</c:v>
                </c:pt>
                <c:pt idx="33">
                  <c:v>5692.686680285631</c:v>
                </c:pt>
                <c:pt idx="34">
                  <c:v>5116.705457543254</c:v>
                </c:pt>
                <c:pt idx="35">
                  <c:v>3400.447757416576</c:v>
                </c:pt>
                <c:pt idx="36">
                  <c:v>2547.5078717049487</c:v>
                </c:pt>
                <c:pt idx="37">
                  <c:v>1696.9874126792013</c:v>
                </c:pt>
                <c:pt idx="38">
                  <c:v>1272.385257299366</c:v>
                </c:pt>
                <c:pt idx="39">
                  <c:v>1017.7765919474638</c:v>
                </c:pt>
                <c:pt idx="40">
                  <c:v>848.0875990322487</c:v>
                </c:pt>
                <c:pt idx="41">
                  <c:v>726.9014728064866</c:v>
                </c:pt>
                <c:pt idx="42">
                  <c:v>636.0213512173459</c:v>
                </c:pt>
                <c:pt idx="43">
                  <c:v>565.3417124528587</c:v>
                </c:pt>
                <c:pt idx="44">
                  <c:v>508.8007426187971</c:v>
                </c:pt>
                <c:pt idx="45">
                  <c:v>339.1899587102156</c:v>
                </c:pt>
                <c:pt idx="46">
                  <c:v>254.38994800568682</c:v>
                </c:pt>
                <c:pt idx="47">
                  <c:v>169.59256476774317</c:v>
                </c:pt>
                <c:pt idx="48">
                  <c:v>127.1947208800332</c:v>
                </c:pt>
                <c:pt idx="49">
                  <c:v>101.75631683246104</c:v>
                </c:pt>
                <c:pt idx="50">
                  <c:v>84.7975554055201</c:v>
                </c:pt>
                <c:pt idx="51">
                  <c:v>72.68428134307221</c:v>
                </c:pt>
                <c:pt idx="52">
                  <c:v>63.59942858323924</c:v>
                </c:pt>
                <c:pt idx="53">
                  <c:v>56.533519832204284</c:v>
                </c:pt>
                <c:pt idx="54">
                  <c:v>50.8808702142982</c:v>
                </c:pt>
                <c:pt idx="55">
                  <c:v>33.923679815277495</c:v>
                </c:pt>
                <c:pt idx="56">
                  <c:v>25.446022701757826</c:v>
                </c:pt>
                <c:pt idx="57">
                  <c:v>16.970232597757747</c:v>
                </c:pt>
                <c:pt idx="58">
                  <c:v>12.734200982722127</c:v>
                </c:pt>
                <c:pt idx="59">
                  <c:v>10.194070097433208</c:v>
                </c:pt>
                <c:pt idx="60">
                  <c:v>8.501887053402271</c:v>
                </c:pt>
                <c:pt idx="61">
                  <c:v>7.2942430567847945</c:v>
                </c:pt>
                <c:pt idx="62">
                  <c:v>6.389433327526806</c:v>
                </c:pt>
                <c:pt idx="63">
                  <c:v>5.686510423642014</c:v>
                </c:pt>
                <c:pt idx="64">
                  <c:v>5.124905575378917</c:v>
                </c:pt>
                <c:pt idx="65">
                  <c:v>3.4473485202899394</c:v>
                </c:pt>
                <c:pt idx="66">
                  <c:v>2.617452195578941</c:v>
                </c:pt>
                <c:pt idx="67">
                  <c:v>1.8044236495172419</c:v>
                </c:pt>
                <c:pt idx="68">
                  <c:v>1.4133845048084002</c:v>
                </c:pt>
                <c:pt idx="69">
                  <c:v>1.1896418500186543</c:v>
                </c:pt>
                <c:pt idx="70">
                  <c:v>1.0482737900636792</c:v>
                </c:pt>
                <c:pt idx="71">
                  <c:v>0.9529516947041918</c:v>
                </c:pt>
                <c:pt idx="72">
                  <c:v>0.8856103557885758</c:v>
                </c:pt>
                <c:pt idx="73">
                  <c:v>0.8363140142909156</c:v>
                </c:pt>
                <c:pt idx="74">
                  <c:v>0.7991893990974093</c:v>
                </c:pt>
              </c:numCache>
            </c:numRef>
          </c:yVal>
          <c:smooth val="0"/>
        </c:ser>
        <c:ser>
          <c:idx val="0"/>
          <c:order val="2"/>
          <c:tx>
            <c:v>Loop Gain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Control!$AA$14:$AA$88</c:f>
              <c:numCache>
                <c:ptCount val="75"/>
                <c:pt idx="0">
                  <c:v>10.9425394488446</c:v>
                </c:pt>
                <c:pt idx="1">
                  <c:v>10.924810056165319</c:v>
                </c:pt>
                <c:pt idx="2">
                  <c:v>10.900129282709997</c:v>
                </c:pt>
                <c:pt idx="3">
                  <c:v>10.830500192728556</c:v>
                </c:pt>
                <c:pt idx="4">
                  <c:v>10.735165968061706</c:v>
                </c:pt>
                <c:pt idx="5">
                  <c:v>10.616118181201616</c:v>
                </c:pt>
                <c:pt idx="6">
                  <c:v>10.475716107688784</c:v>
                </c:pt>
                <c:pt idx="7">
                  <c:v>10.316566748820112</c:v>
                </c:pt>
                <c:pt idx="8">
                  <c:v>10.141405773718361</c:v>
                </c:pt>
                <c:pt idx="9">
                  <c:v>9.952988372613335</c:v>
                </c:pt>
                <c:pt idx="10">
                  <c:v>9.753996358425354</c:v>
                </c:pt>
                <c:pt idx="11">
                  <c:v>8.681596784511706</c:v>
                </c:pt>
                <c:pt idx="12">
                  <c:v>7.628414602478407</c:v>
                </c:pt>
                <c:pt idx="13">
                  <c:v>5.900563800315883</c:v>
                </c:pt>
                <c:pt idx="14">
                  <c:v>4.679856220496127</c:v>
                </c:pt>
                <c:pt idx="15">
                  <c:v>3.820307504561591</c:v>
                </c:pt>
                <c:pt idx="16">
                  <c:v>3.2035493957864944</c:v>
                </c:pt>
                <c:pt idx="17">
                  <c:v>2.7563535275921143</c:v>
                </c:pt>
                <c:pt idx="18">
                  <c:v>2.434962525989098</c:v>
                </c:pt>
                <c:pt idx="19">
                  <c:v>2.2124125077468184</c:v>
                </c:pt>
                <c:pt idx="20">
                  <c:v>2.070594160225368</c:v>
                </c:pt>
                <c:pt idx="21">
                  <c:v>1.9955817590930927</c:v>
                </c:pt>
                <c:pt idx="22">
                  <c:v>1.9752800776420691</c:v>
                </c:pt>
                <c:pt idx="23">
                  <c:v>1.9986995909514225</c:v>
                </c:pt>
                <c:pt idx="24">
                  <c:v>2.0560903198446296</c:v>
                </c:pt>
                <c:pt idx="25">
                  <c:v>2.1392421203605516</c:v>
                </c:pt>
                <c:pt idx="26">
                  <c:v>2.759687827051476</c:v>
                </c:pt>
                <c:pt idx="27">
                  <c:v>4.277929385428567</c:v>
                </c:pt>
                <c:pt idx="28">
                  <c:v>5.839447831729806</c:v>
                </c:pt>
                <c:pt idx="29">
                  <c:v>7.4069664093905265</c:v>
                </c:pt>
                <c:pt idx="30">
                  <c:v>8.984408468185336</c:v>
                </c:pt>
                <c:pt idx="31">
                  <c:v>10.578134118693542</c:v>
                </c:pt>
                <c:pt idx="32">
                  <c:v>12.194076259427144</c:v>
                </c:pt>
                <c:pt idx="33">
                  <c:v>13.83777746845343</c:v>
                </c:pt>
                <c:pt idx="34">
                  <c:v>15.514634333381448</c:v>
                </c:pt>
                <c:pt idx="35">
                  <c:v>24.59576840568575</c:v>
                </c:pt>
                <c:pt idx="36">
                  <c:v>35.48332522407467</c:v>
                </c:pt>
                <c:pt idx="37">
                  <c:v>69.02688364795084</c:v>
                </c:pt>
                <c:pt idx="38">
                  <c:v>152.1651824346351</c:v>
                </c:pt>
                <c:pt idx="39">
                  <c:v>374.7117183993699</c:v>
                </c:pt>
                <c:pt idx="40">
                  <c:v>179.44408142137235</c:v>
                </c:pt>
                <c:pt idx="41">
                  <c:v>104.93105744003051</c:v>
                </c:pt>
                <c:pt idx="42">
                  <c:v>75.30662716876982</c:v>
                </c:pt>
                <c:pt idx="43">
                  <c:v>59.46793693857848</c:v>
                </c:pt>
                <c:pt idx="44">
                  <c:v>49.53176996239122</c:v>
                </c:pt>
                <c:pt idx="45">
                  <c:v>28.030292866987224</c:v>
                </c:pt>
                <c:pt idx="46">
                  <c:v>19.960420922046307</c:v>
                </c:pt>
                <c:pt idx="47">
                  <c:v>12.842364854771102</c:v>
                </c:pt>
                <c:pt idx="48">
                  <c:v>9.51527850412357</c:v>
                </c:pt>
                <c:pt idx="49">
                  <c:v>7.569741999999188</c:v>
                </c:pt>
                <c:pt idx="50">
                  <c:v>6.288973159406513</c:v>
                </c:pt>
                <c:pt idx="51">
                  <c:v>5.380632274180141</c:v>
                </c:pt>
                <c:pt idx="52">
                  <c:v>4.702376941548051</c:v>
                </c:pt>
                <c:pt idx="53">
                  <c:v>4.176382355743942</c:v>
                </c:pt>
                <c:pt idx="54">
                  <c:v>3.75643763926217</c:v>
                </c:pt>
                <c:pt idx="55">
                  <c:v>2.500259527630316</c:v>
                </c:pt>
                <c:pt idx="56">
                  <c:v>1.8736497358537043</c:v>
                </c:pt>
                <c:pt idx="57">
                  <c:v>1.2474363774551582</c:v>
                </c:pt>
                <c:pt idx="58">
                  <c:v>0.9341689015753817</c:v>
                </c:pt>
                <c:pt idx="59">
                  <c:v>0.7459643433760234</c:v>
                </c:pt>
                <c:pt idx="60">
                  <c:v>0.6202696958068931</c:v>
                </c:pt>
                <c:pt idx="61">
                  <c:v>0.5302906726227116</c:v>
                </c:pt>
                <c:pt idx="62">
                  <c:v>0.46263416597388474</c:v>
                </c:pt>
                <c:pt idx="63">
                  <c:v>0.40986111550844456</c:v>
                </c:pt>
                <c:pt idx="64">
                  <c:v>0.3675088526251769</c:v>
                </c:pt>
                <c:pt idx="65">
                  <c:v>0.2391888779983425</c:v>
                </c:pt>
                <c:pt idx="66">
                  <c:v>0.1736328440726582</c:v>
                </c:pt>
                <c:pt idx="67">
                  <c:v>0.10606198424091623</c:v>
                </c:pt>
                <c:pt idx="68">
                  <c:v>0.07123634621196079</c:v>
                </c:pt>
                <c:pt idx="69">
                  <c:v>0.05026924934756153</c:v>
                </c:pt>
                <c:pt idx="70">
                  <c:v>0.036633362857286376</c:v>
                </c:pt>
                <c:pt idx="71">
                  <c:v>0.02735595235085554</c:v>
                </c:pt>
                <c:pt idx="72">
                  <c:v>0.020846582510250247</c:v>
                </c:pt>
                <c:pt idx="73">
                  <c:v>0.01616940780400875</c:v>
                </c:pt>
                <c:pt idx="74">
                  <c:v>0.012740898764756103</c:v>
                </c:pt>
              </c:numCache>
            </c:numRef>
          </c:yVal>
          <c:smooth val="0"/>
        </c:ser>
        <c:ser>
          <c:idx val="5"/>
          <c:order val="3"/>
          <c:tx>
            <c:v>CLTF - V/N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Control!$AD$14:$AD$88</c:f>
              <c:numCache>
                <c:ptCount val="75"/>
                <c:pt idx="0">
                  <c:v>6387.215910867386</c:v>
                </c:pt>
                <c:pt idx="1">
                  <c:v>6397.234128976324</c:v>
                </c:pt>
                <c:pt idx="2">
                  <c:v>6411.231848734846</c:v>
                </c:pt>
                <c:pt idx="3">
                  <c:v>6451.048475611438</c:v>
                </c:pt>
                <c:pt idx="4">
                  <c:v>6506.358942274144</c:v>
                </c:pt>
                <c:pt idx="5">
                  <c:v>6576.749066620775</c:v>
                </c:pt>
                <c:pt idx="6">
                  <c:v>6661.711206084108</c:v>
                </c:pt>
                <c:pt idx="7">
                  <c:v>6760.660151972501</c:v>
                </c:pt>
                <c:pt idx="8">
                  <c:v>6872.949967631801</c:v>
                </c:pt>
                <c:pt idx="9">
                  <c:v>6997.890772426993</c:v>
                </c:pt>
                <c:pt idx="10">
                  <c:v>7134.764639796516</c:v>
                </c:pt>
                <c:pt idx="11">
                  <c:v>7972.688357644176</c:v>
                </c:pt>
                <c:pt idx="12">
                  <c:v>9004.732044010774</c:v>
                </c:pt>
                <c:pt idx="13">
                  <c:v>11392.396059987828</c:v>
                </c:pt>
                <c:pt idx="14">
                  <c:v>13940.533090455128</c:v>
                </c:pt>
                <c:pt idx="15">
                  <c:v>16450.934277719673</c:v>
                </c:pt>
                <c:pt idx="16">
                  <c:v>18792.017541329416</c:v>
                </c:pt>
                <c:pt idx="17">
                  <c:v>20864.732071579623</c:v>
                </c:pt>
                <c:pt idx="18">
                  <c:v>22596.49555633197</c:v>
                </c:pt>
                <c:pt idx="19">
                  <c:v>23944.314951211327</c:v>
                </c:pt>
                <c:pt idx="20">
                  <c:v>24897.40824503406</c:v>
                </c:pt>
                <c:pt idx="21">
                  <c:v>25474.97946152443</c:v>
                </c:pt>
                <c:pt idx="22">
                  <c:v>25718.983657604054</c:v>
                </c:pt>
                <c:pt idx="23">
                  <c:v>25684.359447350787</c:v>
                </c:pt>
                <c:pt idx="24">
                  <c:v>25429.719124760493</c:v>
                </c:pt>
                <c:pt idx="25">
                  <c:v>25010.44307554036</c:v>
                </c:pt>
                <c:pt idx="26">
                  <c:v>21833.344993785096</c:v>
                </c:pt>
                <c:pt idx="27">
                  <c:v>15996.941336640157</c:v>
                </c:pt>
                <c:pt idx="28">
                  <c:v>12329.641483526375</c:v>
                </c:pt>
                <c:pt idx="29">
                  <c:v>9975.547316176291</c:v>
                </c:pt>
                <c:pt idx="30">
                  <c:v>8360.70056733486</c:v>
                </c:pt>
                <c:pt idx="31">
                  <c:v>7190.086519210554</c:v>
                </c:pt>
                <c:pt idx="32">
                  <c:v>6304.4939272600295</c:v>
                </c:pt>
                <c:pt idx="33">
                  <c:v>5611.881527856825</c:v>
                </c:pt>
                <c:pt idx="34">
                  <c:v>5055.7072286741295</c:v>
                </c:pt>
                <c:pt idx="35">
                  <c:v>3378.239605098949</c:v>
                </c:pt>
                <c:pt idx="36">
                  <c:v>2535.673909664333</c:v>
                </c:pt>
                <c:pt idx="37">
                  <c:v>1691.3735329710837</c:v>
                </c:pt>
                <c:pt idx="38">
                  <c:v>1268.7530211336757</c:v>
                </c:pt>
                <c:pt idx="39">
                  <c:v>1015.0684473903573</c:v>
                </c:pt>
                <c:pt idx="40">
                  <c:v>845.9057863016432</c:v>
                </c:pt>
                <c:pt idx="41">
                  <c:v>725.0571626630804</c:v>
                </c:pt>
                <c:pt idx="42">
                  <c:v>634.4105805861177</c:v>
                </c:pt>
                <c:pt idx="43">
                  <c:v>563.9011409754701</c:v>
                </c:pt>
                <c:pt idx="44">
                  <c:v>507.48886155932155</c:v>
                </c:pt>
                <c:pt idx="45">
                  <c:v>338.2153904254658</c:v>
                </c:pt>
                <c:pt idx="46">
                  <c:v>253.53973211408402</c:v>
                </c:pt>
                <c:pt idx="47">
                  <c:v>168.7923067925408</c:v>
                </c:pt>
                <c:pt idx="48">
                  <c:v>126.34882096455219</c:v>
                </c:pt>
                <c:pt idx="49">
                  <c:v>100.82813232236725</c:v>
                </c:pt>
                <c:pt idx="50">
                  <c:v>83.76990665620544</c:v>
                </c:pt>
                <c:pt idx="51">
                  <c:v>71.54842488228037</c:v>
                </c:pt>
                <c:pt idx="52">
                  <c:v>62.35095528026499</c:v>
                </c:pt>
                <c:pt idx="53">
                  <c:v>55.17053110485474</c:v>
                </c:pt>
                <c:pt idx="54">
                  <c:v>49.403058114780364</c:v>
                </c:pt>
                <c:pt idx="55">
                  <c:v>31.8961063611171</c:v>
                </c:pt>
                <c:pt idx="56">
                  <c:v>22.944237783659954</c:v>
                </c:pt>
                <c:pt idx="57">
                  <c:v>13.79570030431982</c:v>
                </c:pt>
                <c:pt idx="58">
                  <c:v>9.209217653000389</c:v>
                </c:pt>
                <c:pt idx="59">
                  <c:v>6.5408799728788445</c:v>
                </c:pt>
                <c:pt idx="60">
                  <c:v>4.854619247483544</c:v>
                </c:pt>
                <c:pt idx="61">
                  <c:v>3.727160255223255</c:v>
                </c:pt>
                <c:pt idx="62">
                  <c:v>2.94020147039681</c:v>
                </c:pt>
                <c:pt idx="63">
                  <c:v>2.3715256496836905</c:v>
                </c:pt>
                <c:pt idx="64">
                  <c:v>1.9485769769335417</c:v>
                </c:pt>
                <c:pt idx="65">
                  <c:v>0.886324934280249</c:v>
                </c:pt>
                <c:pt idx="66">
                  <c:v>0.49282196538305306</c:v>
                </c:pt>
                <c:pt idx="67">
                  <c:v>0.20633438286675257</c:v>
                </c:pt>
                <c:pt idx="68">
                  <c:v>0.10708655276609631</c:v>
                </c:pt>
                <c:pt idx="69">
                  <c:v>0.06274797280291353</c:v>
                </c:pt>
                <c:pt idx="70">
                  <c:v>0.039835925941761254</c:v>
                </c:pt>
                <c:pt idx="71">
                  <c:v>0.026801729117042216</c:v>
                </c:pt>
                <c:pt idx="72">
                  <c:v>0.018852909482328182</c:v>
                </c:pt>
                <c:pt idx="73">
                  <c:v>0.013739589993297005</c:v>
                </c:pt>
                <c:pt idx="74">
                  <c:v>0.010307074508374727</c:v>
                </c:pt>
              </c:numCache>
            </c:numRef>
          </c:yVal>
          <c:smooth val="0"/>
        </c:ser>
        <c:axId val="5242230"/>
        <c:axId val="47180071"/>
      </c:scatterChart>
      <c:valAx>
        <c:axId val="5242230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FFFFCC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180071"/>
        <c:crossesAt val="0.001"/>
        <c:crossBetween val="midCat"/>
        <c:dispUnits/>
        <c:majorUnit val="10"/>
        <c:minorUnit val="10"/>
      </c:valAx>
      <c:valAx>
        <c:axId val="47180071"/>
        <c:scaling>
          <c:logBase val="10"/>
          <c:orientation val="minMax"/>
          <c:min val="0.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42230"/>
        <c:crossesAt val="0.0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163"/>
          <c:w val="0.153"/>
          <c:h val="0.0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75"/>
          <c:w val="0.988"/>
          <c:h val="0.9285"/>
        </c:manualLayout>
      </c:layout>
      <c:scatterChart>
        <c:scatterStyle val="line"/>
        <c:varyColors val="0"/>
        <c:ser>
          <c:idx val="4"/>
          <c:order val="0"/>
          <c:tx>
            <c:v>A - V / m/s^2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Control!$X$14:$X$88</c:f>
              <c:numCache>
                <c:ptCount val="75"/>
                <c:pt idx="0">
                  <c:v>38137.295017957505</c:v>
                </c:pt>
                <c:pt idx="1">
                  <c:v>38137.29688668453</c:v>
                </c:pt>
                <c:pt idx="2">
                  <c:v>38137.29950290262</c:v>
                </c:pt>
                <c:pt idx="3">
                  <c:v>38137.30697781348</c:v>
                </c:pt>
                <c:pt idx="4">
                  <c:v>38137.31744269364</c:v>
                </c:pt>
                <c:pt idx="5">
                  <c:v>38137.33089754755</c:v>
                </c:pt>
                <c:pt idx="6">
                  <c:v>38137.34734238182</c:v>
                </c:pt>
                <c:pt idx="7">
                  <c:v>38137.36677720391</c:v>
                </c:pt>
                <c:pt idx="8">
                  <c:v>38137.38920202256</c:v>
                </c:pt>
                <c:pt idx="9">
                  <c:v>38137.41461684838</c:v>
                </c:pt>
                <c:pt idx="10">
                  <c:v>38137.443021692794</c:v>
                </c:pt>
                <c:pt idx="11">
                  <c:v>38137.629896702965</c:v>
                </c:pt>
                <c:pt idx="12">
                  <c:v>38137.89152473049</c:v>
                </c:pt>
                <c:pt idx="13">
                  <c:v>38138.63905275278</c:v>
                </c:pt>
                <c:pt idx="14">
                  <c:v>38139.68564020112</c:v>
                </c:pt>
                <c:pt idx="15">
                  <c:v>38141.03133529909</c:v>
                </c:pt>
                <c:pt idx="16">
                  <c:v>38142.67620005776</c:v>
                </c:pt>
                <c:pt idx="17">
                  <c:v>38144.620310282975</c:v>
                </c:pt>
                <c:pt idx="18">
                  <c:v>38146.86375558329</c:v>
                </c:pt>
                <c:pt idx="19">
                  <c:v>38149.406639380235</c:v>
                </c:pt>
                <c:pt idx="20">
                  <c:v>38152.249078920686</c:v>
                </c:pt>
                <c:pt idx="21">
                  <c:v>38155.39120528909</c:v>
                </c:pt>
                <c:pt idx="22">
                  <c:v>38158.833163422954</c:v>
                </c:pt>
                <c:pt idx="23">
                  <c:v>38162.57511212847</c:v>
                </c:pt>
                <c:pt idx="24">
                  <c:v>38166.6172240997</c:v>
                </c:pt>
                <c:pt idx="25">
                  <c:v>38170.95968593642</c:v>
                </c:pt>
                <c:pt idx="26">
                  <c:v>38197.184750362714</c:v>
                </c:pt>
                <c:pt idx="27">
                  <c:v>38272.30832798163</c:v>
                </c:pt>
                <c:pt idx="28">
                  <c:v>38377.96874518269</c:v>
                </c:pt>
                <c:pt idx="29">
                  <c:v>38514.66005834928</c:v>
                </c:pt>
                <c:pt idx="30">
                  <c:v>38683.02713477595</c:v>
                </c:pt>
                <c:pt idx="31">
                  <c:v>38883.87316837548</c:v>
                </c:pt>
                <c:pt idx="32">
                  <c:v>39118.169184258404</c:v>
                </c:pt>
                <c:pt idx="33">
                  <c:v>39387.06573971073</c:v>
                </c:pt>
                <c:pt idx="34">
                  <c:v>39691.90708270043</c:v>
                </c:pt>
                <c:pt idx="35">
                  <c:v>41818.31275852574</c:v>
                </c:pt>
                <c:pt idx="36">
                  <c:v>45197.02516129843</c:v>
                </c:pt>
                <c:pt idx="37">
                  <c:v>58568.87634352216</c:v>
                </c:pt>
                <c:pt idx="38">
                  <c:v>96806.36740204933</c:v>
                </c:pt>
                <c:pt idx="39">
                  <c:v>190686.4078576442</c:v>
                </c:pt>
                <c:pt idx="40">
                  <c:v>76092.15008659945</c:v>
                </c:pt>
                <c:pt idx="41">
                  <c:v>38137.270098150075</c:v>
                </c:pt>
                <c:pt idx="42">
                  <c:v>23948.31138375093</c:v>
                </c:pt>
                <c:pt idx="43">
                  <c:v>16809.852652447276</c:v>
                </c:pt>
                <c:pt idx="44">
                  <c:v>12600.900670044053</c:v>
                </c:pt>
                <c:pt idx="45">
                  <c:v>4753.79694009433</c:v>
                </c:pt>
                <c:pt idx="46">
                  <c:v>2538.865220265493</c:v>
                </c:pt>
                <c:pt idx="47">
                  <c:v>1088.9847967018775</c:v>
                </c:pt>
                <c:pt idx="48">
                  <c:v>605.1465967138885</c:v>
                </c:pt>
                <c:pt idx="49">
                  <c:v>385.13453264595233</c:v>
                </c:pt>
                <c:pt idx="50">
                  <c:v>266.64477496430106</c:v>
                </c:pt>
                <c:pt idx="51">
                  <c:v>195.54369501006192</c:v>
                </c:pt>
                <c:pt idx="52">
                  <c:v>149.5342432327281</c:v>
                </c:pt>
                <c:pt idx="53">
                  <c:v>118.05279736765922</c:v>
                </c:pt>
                <c:pt idx="54">
                  <c:v>95.5654079957015</c:v>
                </c:pt>
                <c:pt idx="55">
                  <c:v>42.409001835213964</c:v>
                </c:pt>
                <c:pt idx="56">
                  <c:v>23.83846685683792</c:v>
                </c:pt>
                <c:pt idx="57">
                  <c:v>10.58464273815915</c:v>
                </c:pt>
                <c:pt idx="58">
                  <c:v>5.94794727223484</c:v>
                </c:pt>
                <c:pt idx="59">
                  <c:v>3.802206403280457</c:v>
                </c:pt>
                <c:pt idx="60">
                  <c:v>2.636731448199193</c:v>
                </c:pt>
                <c:pt idx="61">
                  <c:v>1.9340345284279754</c:v>
                </c:pt>
                <c:pt idx="62">
                  <c:v>1.477985079263054</c:v>
                </c:pt>
                <c:pt idx="63">
                  <c:v>1.1653397527921572</c:v>
                </c:pt>
                <c:pt idx="64">
                  <c:v>0.9417240839099382</c:v>
                </c:pt>
                <c:pt idx="65">
                  <c:v>0.412283712318699</c:v>
                </c:pt>
                <c:pt idx="66">
                  <c:v>0.227237834471298</c:v>
                </c:pt>
                <c:pt idx="67">
                  <c:v>0.09569037633951716</c:v>
                </c:pt>
                <c:pt idx="68">
                  <c:v>0.05034217395757594</c:v>
                </c:pt>
                <c:pt idx="69">
                  <c:v>0.029901201396441052</c:v>
                </c:pt>
                <c:pt idx="70">
                  <c:v>0.019200897062592818</c:v>
                </c:pt>
                <c:pt idx="71">
                  <c:v>0.013034450576497462</c:v>
                </c:pt>
                <c:pt idx="72">
                  <c:v>0.009230974676939306</c:v>
                </c:pt>
                <c:pt idx="73">
                  <c:v>0.006761351174638692</c:v>
                </c:pt>
                <c:pt idx="74">
                  <c:v>0.005091195613883184</c:v>
                </c:pt>
              </c:numCache>
            </c:numRef>
          </c:yVal>
          <c:smooth val="0"/>
        </c:ser>
        <c:ser>
          <c:idx val="1"/>
          <c:order val="1"/>
          <c:tx>
            <c:v>1/B - V / m/s^2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Control!$P$14:$P$88</c:f>
              <c:numCache>
                <c:ptCount val="75"/>
                <c:pt idx="0">
                  <c:v>3485.2325820935775</c:v>
                </c:pt>
                <c:pt idx="1">
                  <c:v>3490.8887834770326</c:v>
                </c:pt>
                <c:pt idx="2">
                  <c:v>3498.7933182954735</c:v>
                </c:pt>
                <c:pt idx="3">
                  <c:v>3521.2876874715735</c:v>
                </c:pt>
                <c:pt idx="4">
                  <c:v>3552.559648929178</c:v>
                </c:pt>
                <c:pt idx="5">
                  <c:v>3592.39886431172</c:v>
                </c:pt>
                <c:pt idx="6">
                  <c:v>3640.548001715163</c:v>
                </c:pt>
                <c:pt idx="7">
                  <c:v>3696.7110964086596</c:v>
                </c:pt>
                <c:pt idx="8">
                  <c:v>3760.5623966705202</c:v>
                </c:pt>
                <c:pt idx="9">
                  <c:v>3831.7551662963233</c:v>
                </c:pt>
                <c:pt idx="10">
                  <c:v>3909.9300041003457</c:v>
                </c:pt>
                <c:pt idx="11">
                  <c:v>4392.92803424618</c:v>
                </c:pt>
                <c:pt idx="12">
                  <c:v>4999.451853644638</c:v>
                </c:pt>
                <c:pt idx="13">
                  <c:v>6463.558457025932</c:v>
                </c:pt>
                <c:pt idx="14">
                  <c:v>8149.755856421978</c:v>
                </c:pt>
                <c:pt idx="15">
                  <c:v>9983.759498353798</c:v>
                </c:pt>
                <c:pt idx="16">
                  <c:v>11906.37992041745</c:v>
                </c:pt>
                <c:pt idx="17">
                  <c:v>13838.798226875215</c:v>
                </c:pt>
                <c:pt idx="18">
                  <c:v>15666.304244287232</c:v>
                </c:pt>
                <c:pt idx="19">
                  <c:v>17243.351547597544</c:v>
                </c:pt>
                <c:pt idx="20">
                  <c:v>18425.749387203927</c:v>
                </c:pt>
                <c:pt idx="21">
                  <c:v>19119.933839558176</c:v>
                </c:pt>
                <c:pt idx="22">
                  <c:v>19318.188643391688</c:v>
                </c:pt>
                <c:pt idx="23">
                  <c:v>19093.70236772918</c:v>
                </c:pt>
                <c:pt idx="24">
                  <c:v>18562.71432034355</c:v>
                </c:pt>
                <c:pt idx="25">
                  <c:v>17843.2162131807</c:v>
                </c:pt>
                <c:pt idx="26">
                  <c:v>13841.125208416635</c:v>
                </c:pt>
                <c:pt idx="27">
                  <c:v>8946.456306255152</c:v>
                </c:pt>
                <c:pt idx="28">
                  <c:v>6572.191387111697</c:v>
                </c:pt>
                <c:pt idx="29">
                  <c:v>5199.788675903877</c:v>
                </c:pt>
                <c:pt idx="30">
                  <c:v>4305.5730682499925</c:v>
                </c:pt>
                <c:pt idx="31">
                  <c:v>3675.8725813147403</c:v>
                </c:pt>
                <c:pt idx="32">
                  <c:v>3207.964945603535</c:v>
                </c:pt>
                <c:pt idx="33">
                  <c:v>2846.3433401428156</c:v>
                </c:pt>
                <c:pt idx="34">
                  <c:v>2558.352728771627</c:v>
                </c:pt>
                <c:pt idx="35">
                  <c:v>1700.223878708288</c:v>
                </c:pt>
                <c:pt idx="36">
                  <c:v>1273.7539358524743</c:v>
                </c:pt>
                <c:pt idx="37">
                  <c:v>848.4937063396006</c:v>
                </c:pt>
                <c:pt idx="38">
                  <c:v>636.192628649683</c:v>
                </c:pt>
                <c:pt idx="39">
                  <c:v>508.8882959737319</c:v>
                </c:pt>
                <c:pt idx="40">
                  <c:v>424.04379951612435</c:v>
                </c:pt>
                <c:pt idx="41">
                  <c:v>363.4507364032433</c:v>
                </c:pt>
                <c:pt idx="42">
                  <c:v>318.01067560867295</c:v>
                </c:pt>
                <c:pt idx="43">
                  <c:v>282.67085622642935</c:v>
                </c:pt>
                <c:pt idx="44">
                  <c:v>254.40037130939854</c:v>
                </c:pt>
                <c:pt idx="45">
                  <c:v>169.5949793551078</c:v>
                </c:pt>
                <c:pt idx="46">
                  <c:v>127.19497400284341</c:v>
                </c:pt>
                <c:pt idx="47">
                  <c:v>84.79628238387158</c:v>
                </c:pt>
                <c:pt idx="48">
                  <c:v>63.5973604400166</c:v>
                </c:pt>
                <c:pt idx="49">
                  <c:v>50.87815841623052</c:v>
                </c:pt>
                <c:pt idx="50">
                  <c:v>42.39877770276005</c:v>
                </c:pt>
                <c:pt idx="51">
                  <c:v>36.34214067153611</c:v>
                </c:pt>
                <c:pt idx="52">
                  <c:v>31.79971429161962</c:v>
                </c:pt>
                <c:pt idx="53">
                  <c:v>28.266759916102142</c:v>
                </c:pt>
                <c:pt idx="54">
                  <c:v>25.4404351071491</c:v>
                </c:pt>
                <c:pt idx="55">
                  <c:v>16.961839907638748</c:v>
                </c:pt>
                <c:pt idx="56">
                  <c:v>12.723011350878913</c:v>
                </c:pt>
                <c:pt idx="57">
                  <c:v>8.485116298878873</c:v>
                </c:pt>
                <c:pt idx="58">
                  <c:v>6.367100491361064</c:v>
                </c:pt>
                <c:pt idx="59">
                  <c:v>5.097035048716604</c:v>
                </c:pt>
                <c:pt idx="60">
                  <c:v>4.2509435267011355</c:v>
                </c:pt>
                <c:pt idx="61">
                  <c:v>3.6471215283923972</c:v>
                </c:pt>
                <c:pt idx="62">
                  <c:v>3.194716663763403</c:v>
                </c:pt>
                <c:pt idx="63">
                  <c:v>2.843255211821007</c:v>
                </c:pt>
                <c:pt idx="64">
                  <c:v>2.5624527876894585</c:v>
                </c:pt>
                <c:pt idx="65">
                  <c:v>1.7236742601449697</c:v>
                </c:pt>
                <c:pt idx="66">
                  <c:v>1.3087260977894706</c:v>
                </c:pt>
                <c:pt idx="67">
                  <c:v>0.9022118247586209</c:v>
                </c:pt>
                <c:pt idx="68">
                  <c:v>0.7066922524042001</c:v>
                </c:pt>
                <c:pt idx="69">
                  <c:v>0.5948209250093272</c:v>
                </c:pt>
                <c:pt idx="70">
                  <c:v>0.5241368950318396</c:v>
                </c:pt>
                <c:pt idx="71">
                  <c:v>0.4764758473520959</c:v>
                </c:pt>
                <c:pt idx="72">
                  <c:v>0.4428051778942879</c:v>
                </c:pt>
                <c:pt idx="73">
                  <c:v>0.4181570071454578</c:v>
                </c:pt>
                <c:pt idx="74">
                  <c:v>0.39959469954870463</c:v>
                </c:pt>
              </c:numCache>
            </c:numRef>
          </c:yVal>
          <c:smooth val="0"/>
        </c:ser>
        <c:ser>
          <c:idx val="0"/>
          <c:order val="2"/>
          <c:tx>
            <c:v>Loop Gain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Control!$AA$14:$AA$88</c:f>
              <c:numCache>
                <c:ptCount val="75"/>
                <c:pt idx="0">
                  <c:v>10.9425394488446</c:v>
                </c:pt>
                <c:pt idx="1">
                  <c:v>10.924810056165319</c:v>
                </c:pt>
                <c:pt idx="2">
                  <c:v>10.900129282709997</c:v>
                </c:pt>
                <c:pt idx="3">
                  <c:v>10.830500192728556</c:v>
                </c:pt>
                <c:pt idx="4">
                  <c:v>10.735165968061706</c:v>
                </c:pt>
                <c:pt idx="5">
                  <c:v>10.616118181201616</c:v>
                </c:pt>
                <c:pt idx="6">
                  <c:v>10.475716107688784</c:v>
                </c:pt>
                <c:pt idx="7">
                  <c:v>10.316566748820112</c:v>
                </c:pt>
                <c:pt idx="8">
                  <c:v>10.141405773718361</c:v>
                </c:pt>
                <c:pt idx="9">
                  <c:v>9.952988372613335</c:v>
                </c:pt>
                <c:pt idx="10">
                  <c:v>9.753996358425354</c:v>
                </c:pt>
                <c:pt idx="11">
                  <c:v>8.681596784511706</c:v>
                </c:pt>
                <c:pt idx="12">
                  <c:v>7.628414602478407</c:v>
                </c:pt>
                <c:pt idx="13">
                  <c:v>5.900563800315883</c:v>
                </c:pt>
                <c:pt idx="14">
                  <c:v>4.679856220496127</c:v>
                </c:pt>
                <c:pt idx="15">
                  <c:v>3.820307504561591</c:v>
                </c:pt>
                <c:pt idx="16">
                  <c:v>3.2035493957864944</c:v>
                </c:pt>
                <c:pt idx="17">
                  <c:v>2.7563535275921143</c:v>
                </c:pt>
                <c:pt idx="18">
                  <c:v>2.434962525989098</c:v>
                </c:pt>
                <c:pt idx="19">
                  <c:v>2.2124125077468184</c:v>
                </c:pt>
                <c:pt idx="20">
                  <c:v>2.070594160225368</c:v>
                </c:pt>
                <c:pt idx="21">
                  <c:v>1.9955817590930927</c:v>
                </c:pt>
                <c:pt idx="22">
                  <c:v>1.9752800776420691</c:v>
                </c:pt>
                <c:pt idx="23">
                  <c:v>1.9986995909514225</c:v>
                </c:pt>
                <c:pt idx="24">
                  <c:v>2.0560903198446296</c:v>
                </c:pt>
                <c:pt idx="25">
                  <c:v>2.1392421203605516</c:v>
                </c:pt>
                <c:pt idx="26">
                  <c:v>2.759687827051476</c:v>
                </c:pt>
                <c:pt idx="27">
                  <c:v>4.277929385428567</c:v>
                </c:pt>
                <c:pt idx="28">
                  <c:v>5.839447831729806</c:v>
                </c:pt>
                <c:pt idx="29">
                  <c:v>7.4069664093905265</c:v>
                </c:pt>
                <c:pt idx="30">
                  <c:v>8.984408468185336</c:v>
                </c:pt>
                <c:pt idx="31">
                  <c:v>10.578134118693542</c:v>
                </c:pt>
                <c:pt idx="32">
                  <c:v>12.194076259427144</c:v>
                </c:pt>
                <c:pt idx="33">
                  <c:v>13.83777746845343</c:v>
                </c:pt>
                <c:pt idx="34">
                  <c:v>15.514634333381448</c:v>
                </c:pt>
                <c:pt idx="35">
                  <c:v>24.59576840568575</c:v>
                </c:pt>
                <c:pt idx="36">
                  <c:v>35.48332522407467</c:v>
                </c:pt>
                <c:pt idx="37">
                  <c:v>69.02688364795084</c:v>
                </c:pt>
                <c:pt idx="38">
                  <c:v>152.1651824346351</c:v>
                </c:pt>
                <c:pt idx="39">
                  <c:v>374.7117183993699</c:v>
                </c:pt>
                <c:pt idx="40">
                  <c:v>179.44408142137235</c:v>
                </c:pt>
                <c:pt idx="41">
                  <c:v>104.93105744003051</c:v>
                </c:pt>
                <c:pt idx="42">
                  <c:v>75.30662716876982</c:v>
                </c:pt>
                <c:pt idx="43">
                  <c:v>59.46793693857848</c:v>
                </c:pt>
                <c:pt idx="44">
                  <c:v>49.53176996239122</c:v>
                </c:pt>
                <c:pt idx="45">
                  <c:v>28.030292866987224</c:v>
                </c:pt>
                <c:pt idx="46">
                  <c:v>19.960420922046307</c:v>
                </c:pt>
                <c:pt idx="47">
                  <c:v>12.842364854771102</c:v>
                </c:pt>
                <c:pt idx="48">
                  <c:v>9.51527850412357</c:v>
                </c:pt>
                <c:pt idx="49">
                  <c:v>7.569741999999188</c:v>
                </c:pt>
                <c:pt idx="50">
                  <c:v>6.288973159406513</c:v>
                </c:pt>
                <c:pt idx="51">
                  <c:v>5.380632274180141</c:v>
                </c:pt>
                <c:pt idx="52">
                  <c:v>4.702376941548051</c:v>
                </c:pt>
                <c:pt idx="53">
                  <c:v>4.176382355743942</c:v>
                </c:pt>
                <c:pt idx="54">
                  <c:v>3.75643763926217</c:v>
                </c:pt>
                <c:pt idx="55">
                  <c:v>2.500259527630316</c:v>
                </c:pt>
                <c:pt idx="56">
                  <c:v>1.8736497358537043</c:v>
                </c:pt>
                <c:pt idx="57">
                  <c:v>1.2474363774551582</c:v>
                </c:pt>
                <c:pt idx="58">
                  <c:v>0.9341689015753817</c:v>
                </c:pt>
                <c:pt idx="59">
                  <c:v>0.7459643433760234</c:v>
                </c:pt>
                <c:pt idx="60">
                  <c:v>0.6202696958068931</c:v>
                </c:pt>
                <c:pt idx="61">
                  <c:v>0.5302906726227116</c:v>
                </c:pt>
                <c:pt idx="62">
                  <c:v>0.46263416597388474</c:v>
                </c:pt>
                <c:pt idx="63">
                  <c:v>0.40986111550844456</c:v>
                </c:pt>
                <c:pt idx="64">
                  <c:v>0.3675088526251769</c:v>
                </c:pt>
                <c:pt idx="65">
                  <c:v>0.2391888779983425</c:v>
                </c:pt>
                <c:pt idx="66">
                  <c:v>0.1736328440726582</c:v>
                </c:pt>
                <c:pt idx="67">
                  <c:v>0.10606198424091623</c:v>
                </c:pt>
                <c:pt idx="68">
                  <c:v>0.07123634621196079</c:v>
                </c:pt>
                <c:pt idx="69">
                  <c:v>0.05026924934756153</c:v>
                </c:pt>
                <c:pt idx="70">
                  <c:v>0.036633362857286376</c:v>
                </c:pt>
                <c:pt idx="71">
                  <c:v>0.02735595235085554</c:v>
                </c:pt>
                <c:pt idx="72">
                  <c:v>0.020846582510250247</c:v>
                </c:pt>
                <c:pt idx="73">
                  <c:v>0.01616940780400875</c:v>
                </c:pt>
                <c:pt idx="74">
                  <c:v>0.012740898764756103</c:v>
                </c:pt>
              </c:numCache>
            </c:numRef>
          </c:yVal>
          <c:smooth val="0"/>
        </c:ser>
        <c:ser>
          <c:idx val="5"/>
          <c:order val="3"/>
          <c:tx>
            <c:v>CLTF - V / m/s^2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Control!$A$14:$A$88</c:f>
              <c:numCache>
                <c:ptCount val="75"/>
                <c:pt idx="0">
                  <c:v>0.0001</c:v>
                </c:pt>
                <c:pt idx="1">
                  <c:v>0.00015000000000000001</c:v>
                </c:pt>
                <c:pt idx="2">
                  <c:v>0.0002</c:v>
                </c:pt>
                <c:pt idx="3">
                  <c:v>0.00030000000000000003</c:v>
                </c:pt>
                <c:pt idx="4">
                  <c:v>0.0004</c:v>
                </c:pt>
                <c:pt idx="5">
                  <c:v>0.0005</c:v>
                </c:pt>
                <c:pt idx="6">
                  <c:v>0.0006000000000000001</c:v>
                </c:pt>
                <c:pt idx="7">
                  <c:v>0.0006999999999999999</c:v>
                </c:pt>
                <c:pt idx="8">
                  <c:v>0.0008</c:v>
                </c:pt>
                <c:pt idx="9">
                  <c:v>0.0009</c:v>
                </c:pt>
                <c:pt idx="10">
                  <c:v>0.001</c:v>
                </c:pt>
                <c:pt idx="11">
                  <c:v>0.0015</c:v>
                </c:pt>
                <c:pt idx="12">
                  <c:v>0.002</c:v>
                </c:pt>
                <c:pt idx="13">
                  <c:v>0.003</c:v>
                </c:pt>
                <c:pt idx="14">
                  <c:v>0.004</c:v>
                </c:pt>
                <c:pt idx="15">
                  <c:v>0.005</c:v>
                </c:pt>
                <c:pt idx="16">
                  <c:v>0.006</c:v>
                </c:pt>
                <c:pt idx="17">
                  <c:v>0.006999999999999999</c:v>
                </c:pt>
                <c:pt idx="18">
                  <c:v>0.008</c:v>
                </c:pt>
                <c:pt idx="19">
                  <c:v>0.009</c:v>
                </c:pt>
                <c:pt idx="20">
                  <c:v>0.01</c:v>
                </c:pt>
                <c:pt idx="21">
                  <c:v>0.011</c:v>
                </c:pt>
                <c:pt idx="22">
                  <c:v>0.012</c:v>
                </c:pt>
                <c:pt idx="23">
                  <c:v>0.013</c:v>
                </c:pt>
                <c:pt idx="24">
                  <c:v>0.014</c:v>
                </c:pt>
                <c:pt idx="25">
                  <c:v>0.015</c:v>
                </c:pt>
                <c:pt idx="26">
                  <c:v>0.02</c:v>
                </c:pt>
                <c:pt idx="27">
                  <c:v>0.03</c:v>
                </c:pt>
                <c:pt idx="28">
                  <c:v>0.04</c:v>
                </c:pt>
                <c:pt idx="29">
                  <c:v>0.05</c:v>
                </c:pt>
                <c:pt idx="30">
                  <c:v>0.06</c:v>
                </c:pt>
                <c:pt idx="31">
                  <c:v>0.07</c:v>
                </c:pt>
                <c:pt idx="32">
                  <c:v>0.08</c:v>
                </c:pt>
                <c:pt idx="33">
                  <c:v>0.09</c:v>
                </c:pt>
                <c:pt idx="34">
                  <c:v>0.1</c:v>
                </c:pt>
                <c:pt idx="35">
                  <c:v>0.15</c:v>
                </c:pt>
                <c:pt idx="36">
                  <c:v>0.2</c:v>
                </c:pt>
                <c:pt idx="37">
                  <c:v>0.3</c:v>
                </c:pt>
                <c:pt idx="38">
                  <c:v>0.4</c:v>
                </c:pt>
                <c:pt idx="39">
                  <c:v>0.5</c:v>
                </c:pt>
                <c:pt idx="40">
                  <c:v>0.6</c:v>
                </c:pt>
                <c:pt idx="41">
                  <c:v>0.7</c:v>
                </c:pt>
                <c:pt idx="42">
                  <c:v>0.8</c:v>
                </c:pt>
                <c:pt idx="43">
                  <c:v>0.9</c:v>
                </c:pt>
                <c:pt idx="44">
                  <c:v>1</c:v>
                </c:pt>
                <c:pt idx="45">
                  <c:v>1.5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15</c:v>
                </c:pt>
                <c:pt idx="56">
                  <c:v>20</c:v>
                </c:pt>
                <c:pt idx="57">
                  <c:v>30</c:v>
                </c:pt>
                <c:pt idx="58">
                  <c:v>40</c:v>
                </c:pt>
                <c:pt idx="59">
                  <c:v>50</c:v>
                </c:pt>
                <c:pt idx="60">
                  <c:v>60</c:v>
                </c:pt>
                <c:pt idx="61">
                  <c:v>70</c:v>
                </c:pt>
                <c:pt idx="62">
                  <c:v>80</c:v>
                </c:pt>
                <c:pt idx="63">
                  <c:v>90</c:v>
                </c:pt>
                <c:pt idx="64">
                  <c:v>100</c:v>
                </c:pt>
                <c:pt idx="65">
                  <c:v>150</c:v>
                </c:pt>
                <c:pt idx="66">
                  <c:v>200</c:v>
                </c:pt>
                <c:pt idx="67">
                  <c:v>300</c:v>
                </c:pt>
                <c:pt idx="68">
                  <c:v>400</c:v>
                </c:pt>
                <c:pt idx="69">
                  <c:v>500</c:v>
                </c:pt>
                <c:pt idx="70">
                  <c:v>600</c:v>
                </c:pt>
                <c:pt idx="71">
                  <c:v>700</c:v>
                </c:pt>
                <c:pt idx="72">
                  <c:v>800</c:v>
                </c:pt>
                <c:pt idx="73">
                  <c:v>900</c:v>
                </c:pt>
                <c:pt idx="74">
                  <c:v>1000</c:v>
                </c:pt>
              </c:numCache>
            </c:numRef>
          </c:xVal>
          <c:yVal>
            <c:numRef>
              <c:f>Control!$AF$14:$AF$88</c:f>
              <c:numCache>
                <c:ptCount val="75"/>
                <c:pt idx="0">
                  <c:v>3193.607955433693</c:v>
                </c:pt>
                <c:pt idx="1">
                  <c:v>3198.617064488162</c:v>
                </c:pt>
                <c:pt idx="2">
                  <c:v>3205.615924367423</c:v>
                </c:pt>
                <c:pt idx="3">
                  <c:v>3225.524237805719</c:v>
                </c:pt>
                <c:pt idx="4">
                  <c:v>3253.179471137072</c:v>
                </c:pt>
                <c:pt idx="5">
                  <c:v>3288.3745333103875</c:v>
                </c:pt>
                <c:pt idx="6">
                  <c:v>3330.855603042054</c:v>
                </c:pt>
                <c:pt idx="7">
                  <c:v>3380.3300759862504</c:v>
                </c:pt>
                <c:pt idx="8">
                  <c:v>3436.4749838159005</c:v>
                </c:pt>
                <c:pt idx="9">
                  <c:v>3498.9453862134965</c:v>
                </c:pt>
                <c:pt idx="10">
                  <c:v>3567.382319898258</c:v>
                </c:pt>
                <c:pt idx="11">
                  <c:v>3986.344178822088</c:v>
                </c:pt>
                <c:pt idx="12">
                  <c:v>4502.366022005387</c:v>
                </c:pt>
                <c:pt idx="13">
                  <c:v>5696.198029993914</c:v>
                </c:pt>
                <c:pt idx="14">
                  <c:v>6970.266545227564</c:v>
                </c:pt>
                <c:pt idx="15">
                  <c:v>8225.467138859836</c:v>
                </c:pt>
                <c:pt idx="16">
                  <c:v>9396.008770664708</c:v>
                </c:pt>
                <c:pt idx="17">
                  <c:v>10432.366035789812</c:v>
                </c:pt>
                <c:pt idx="18">
                  <c:v>11298.247778165985</c:v>
                </c:pt>
                <c:pt idx="19">
                  <c:v>11972.157475605663</c:v>
                </c:pt>
                <c:pt idx="20">
                  <c:v>12448.70412251703</c:v>
                </c:pt>
                <c:pt idx="21">
                  <c:v>12737.489730762214</c:v>
                </c:pt>
                <c:pt idx="22">
                  <c:v>12859.491828802027</c:v>
                </c:pt>
                <c:pt idx="23">
                  <c:v>12842.179723675394</c:v>
                </c:pt>
                <c:pt idx="24">
                  <c:v>12714.859562380247</c:v>
                </c:pt>
                <c:pt idx="25">
                  <c:v>12505.22153777018</c:v>
                </c:pt>
                <c:pt idx="26">
                  <c:v>10916.672496892548</c:v>
                </c:pt>
                <c:pt idx="27">
                  <c:v>7998.470668320078</c:v>
                </c:pt>
                <c:pt idx="28">
                  <c:v>6164.8207417631875</c:v>
                </c:pt>
                <c:pt idx="29">
                  <c:v>4987.773658088146</c:v>
                </c:pt>
                <c:pt idx="30">
                  <c:v>4180.35028366743</c:v>
                </c:pt>
                <c:pt idx="31">
                  <c:v>3595.043259605277</c:v>
                </c:pt>
                <c:pt idx="32">
                  <c:v>3152.2469636300148</c:v>
                </c:pt>
                <c:pt idx="33">
                  <c:v>2805.9407639284127</c:v>
                </c:pt>
                <c:pt idx="34">
                  <c:v>2527.8536143370648</c:v>
                </c:pt>
                <c:pt idx="35">
                  <c:v>1689.1198025494746</c:v>
                </c:pt>
                <c:pt idx="36">
                  <c:v>1267.8369548321666</c:v>
                </c:pt>
                <c:pt idx="37">
                  <c:v>845.6867664855419</c:v>
                </c:pt>
                <c:pt idx="38">
                  <c:v>634.3765105668379</c:v>
                </c:pt>
                <c:pt idx="39">
                  <c:v>507.53422369517864</c:v>
                </c:pt>
                <c:pt idx="40">
                  <c:v>422.9528931508216</c:v>
                </c:pt>
                <c:pt idx="41">
                  <c:v>362.5285813315402</c:v>
                </c:pt>
                <c:pt idx="42">
                  <c:v>317.20529029305885</c:v>
                </c:pt>
                <c:pt idx="43">
                  <c:v>281.95057048773504</c:v>
                </c:pt>
                <c:pt idx="44">
                  <c:v>253.74443077966077</c:v>
                </c:pt>
                <c:pt idx="45">
                  <c:v>169.1076952127329</c:v>
                </c:pt>
                <c:pt idx="46">
                  <c:v>126.76986605704201</c:v>
                </c:pt>
                <c:pt idx="47">
                  <c:v>84.3961533962704</c:v>
                </c:pt>
                <c:pt idx="48">
                  <c:v>63.174410482276095</c:v>
                </c:pt>
                <c:pt idx="49">
                  <c:v>50.41406616118363</c:v>
                </c:pt>
                <c:pt idx="50">
                  <c:v>41.88495332810272</c:v>
                </c:pt>
                <c:pt idx="51">
                  <c:v>35.774212441140186</c:v>
                </c:pt>
                <c:pt idx="52">
                  <c:v>31.175477640132495</c:v>
                </c:pt>
                <c:pt idx="53">
                  <c:v>27.58526555242737</c:v>
                </c:pt>
                <c:pt idx="54">
                  <c:v>24.701529057390182</c:v>
                </c:pt>
                <c:pt idx="55">
                  <c:v>15.94805318055855</c:v>
                </c:pt>
                <c:pt idx="56">
                  <c:v>11.472118891829977</c:v>
                </c:pt>
                <c:pt idx="57">
                  <c:v>6.89785015215991</c:v>
                </c:pt>
                <c:pt idx="58">
                  <c:v>4.604608826500194</c:v>
                </c:pt>
                <c:pt idx="59">
                  <c:v>3.2704399864394222</c:v>
                </c:pt>
                <c:pt idx="60">
                  <c:v>2.427309623741772</c:v>
                </c:pt>
                <c:pt idx="61">
                  <c:v>1.8635801276116275</c:v>
                </c:pt>
                <c:pt idx="62">
                  <c:v>1.470100735198405</c:v>
                </c:pt>
                <c:pt idx="63">
                  <c:v>1.1857628248418453</c:v>
                </c:pt>
                <c:pt idx="64">
                  <c:v>0.9742884884667709</c:v>
                </c:pt>
                <c:pt idx="65">
                  <c:v>0.4431624671401245</c:v>
                </c:pt>
                <c:pt idx="66">
                  <c:v>0.24641098269152653</c:v>
                </c:pt>
                <c:pt idx="67">
                  <c:v>0.10316719143337628</c:v>
                </c:pt>
                <c:pt idx="68">
                  <c:v>0.053543276383048156</c:v>
                </c:pt>
                <c:pt idx="69">
                  <c:v>0.03137398640145676</c:v>
                </c:pt>
                <c:pt idx="70">
                  <c:v>0.019917962970880627</c:v>
                </c:pt>
                <c:pt idx="71">
                  <c:v>0.013400864558521108</c:v>
                </c:pt>
                <c:pt idx="72">
                  <c:v>0.009426454741164091</c:v>
                </c:pt>
                <c:pt idx="73">
                  <c:v>0.006869794996648503</c:v>
                </c:pt>
                <c:pt idx="74">
                  <c:v>0.005153537254187364</c:v>
                </c:pt>
              </c:numCache>
            </c:numRef>
          </c:yVal>
          <c:smooth val="0"/>
        </c:ser>
        <c:axId val="21967456"/>
        <c:axId val="63489377"/>
      </c:scatterChart>
      <c:valAx>
        <c:axId val="21967456"/>
        <c:scaling>
          <c:logBase val="10"/>
          <c:orientation val="minMax"/>
          <c:max val="1000"/>
          <c:min val="0.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FFFFCC"/>
            </a:solidFill>
          </a:ln>
        </c:spPr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63489377"/>
        <c:crossesAt val="0.001"/>
        <c:crossBetween val="midCat"/>
        <c:dispUnits/>
        <c:majorUnit val="10"/>
        <c:minorUnit val="10"/>
      </c:valAx>
      <c:valAx>
        <c:axId val="63489377"/>
        <c:scaling>
          <c:logBase val="10"/>
          <c:orientation val="minMax"/>
          <c:max val="100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Volts / m/s^2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1967456"/>
        <c:crossesAt val="0.0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75"/>
          <c:y val="0.1495"/>
          <c:w val="0.168"/>
          <c:h val="0.08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Quadratic amplitude vs damping factor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0.1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Ampl.'!$E$4:$E$44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0.25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Ampl.'!$F$4:$F$44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0.5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Ampl.'!$G$4:$G$44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0.707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Ampl.'!$H$4:$H$44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0.8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Ampl.'!$I$4:$I$44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Ampl.'!$A$4:$A$44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Ampl.'!$J$4:$J$44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34533482"/>
        <c:axId val="42365883"/>
      </c:scatterChart>
      <c:valAx>
        <c:axId val="34533482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42365883"/>
        <c:crossesAt val="0.01"/>
        <c:crossBetween val="midCat"/>
        <c:dispUnits/>
      </c:valAx>
      <c:valAx>
        <c:axId val="42365883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Amplitude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latin typeface="Arial"/>
                <a:ea typeface="Arial"/>
                <a:cs typeface="Arial"/>
              </a:defRPr>
            </a:pPr>
          </a:p>
        </c:txPr>
        <c:crossAx val="34533482"/>
        <c:crossesAt val="0.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475"/>
          <c:w val="0.9405"/>
          <c:h val="0.88675"/>
        </c:manualLayout>
      </c:layout>
      <c:scatterChart>
        <c:scatterStyle val="line"/>
        <c:varyColors val="0"/>
        <c:ser>
          <c:idx val="0"/>
          <c:order val="0"/>
          <c:tx>
            <c:v>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'Quad Test'!$A$15:$A$55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'Quad Test'!$K$15:$K$55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45748628"/>
        <c:axId val="9084469"/>
      </c:scatterChart>
      <c:valAx>
        <c:axId val="45748628"/>
        <c:scaling>
          <c:logBase val="10"/>
          <c:orientation val="minMax"/>
          <c:max val="1"/>
          <c:min val="0.0001"/>
        </c:scaling>
        <c:axPos val="b"/>
        <c:majorGridlines/>
        <c:minorGridlines>
          <c:spPr>
            <a:ln w="3175">
              <a:solidFill>
                <a:srgbClr val="FFFFCC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crossAx val="9084469"/>
        <c:crossesAt val="1E-06"/>
        <c:crossBetween val="midCat"/>
        <c:dispUnits/>
      </c:valAx>
      <c:valAx>
        <c:axId val="9084469"/>
        <c:scaling>
          <c:logBase val="10"/>
          <c:orientation val="minMax"/>
        </c:scaling>
        <c:axPos val="l"/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crossAx val="45748628"/>
        <c:crossesAt val="0.00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5" right="0.5" top="1" bottom="1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5" right="0.5" top="1" bottom="1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5" right="0.5" top="1" bottom="1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5" right="0.5" top="1" bottom="1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5" right="0.5" top="1" bottom="1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88</xdr:row>
      <xdr:rowOff>0</xdr:rowOff>
    </xdr:from>
    <xdr:to>
      <xdr:col>15</xdr:col>
      <xdr:colOff>9525</xdr:colOff>
      <xdr:row>88</xdr:row>
      <xdr:rowOff>0</xdr:rowOff>
    </xdr:to>
    <xdr:graphicFrame>
      <xdr:nvGraphicFramePr>
        <xdr:cNvPr id="1" name="Chart 415"/>
        <xdr:cNvGraphicFramePr/>
      </xdr:nvGraphicFramePr>
      <xdr:xfrm>
        <a:off x="5114925" y="16535400"/>
        <a:ext cx="4848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484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44</xdr:row>
      <xdr:rowOff>123825</xdr:rowOff>
    </xdr:from>
    <xdr:to>
      <xdr:col>12</xdr:col>
      <xdr:colOff>57150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00050" y="7658100"/>
        <a:ext cx="6905625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47625</xdr:rowOff>
    </xdr:from>
    <xdr:to>
      <xdr:col>11</xdr:col>
      <xdr:colOff>390525</xdr:colOff>
      <xdr:row>121</xdr:row>
      <xdr:rowOff>85725</xdr:rowOff>
    </xdr:to>
    <xdr:graphicFrame>
      <xdr:nvGraphicFramePr>
        <xdr:cNvPr id="1" name="Chart 1"/>
        <xdr:cNvGraphicFramePr/>
      </xdr:nvGraphicFramePr>
      <xdr:xfrm>
        <a:off x="0" y="10410825"/>
        <a:ext cx="8048625" cy="926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7"/>
  <sheetViews>
    <sheetView tabSelected="1" workbookViewId="0" topLeftCell="A1">
      <pane xSplit="1" ySplit="3" topLeftCell="C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4" sqref="A14"/>
    </sheetView>
  </sheetViews>
  <sheetFormatPr defaultColWidth="9.140625" defaultRowHeight="12.75"/>
  <cols>
    <col min="1" max="1" width="12.00390625" style="0" bestFit="1" customWidth="1"/>
    <col min="2" max="2" width="10.8515625" style="0" bestFit="1" customWidth="1"/>
    <col min="4" max="4" width="9.8515625" style="0" bestFit="1" customWidth="1"/>
    <col min="6" max="6" width="9.8515625" style="0" bestFit="1" customWidth="1"/>
    <col min="7" max="7" width="15.8515625" style="0" customWidth="1"/>
    <col min="10" max="10" width="9.8515625" style="0" customWidth="1"/>
    <col min="11" max="11" width="8.7109375" style="0" customWidth="1"/>
    <col min="12" max="12" width="7.8515625" style="0" customWidth="1"/>
    <col min="13" max="13" width="9.28125" style="0" customWidth="1"/>
    <col min="14" max="14" width="8.7109375" style="0" customWidth="1"/>
    <col min="15" max="15" width="9.8515625" style="0" customWidth="1"/>
    <col min="16" max="16" width="10.7109375" style="0" customWidth="1"/>
    <col min="17" max="17" width="10.8515625" style="0" customWidth="1"/>
    <col min="20" max="20" width="9.00390625" style="0" customWidth="1"/>
    <col min="22" max="22" width="9.00390625" style="0" customWidth="1"/>
    <col min="23" max="23" width="8.140625" style="0" customWidth="1"/>
    <col min="24" max="24" width="12.00390625" style="0" customWidth="1"/>
    <col min="25" max="25" width="8.8515625" style="0" customWidth="1"/>
    <col min="27" max="27" width="9.8515625" style="0" customWidth="1"/>
    <col min="28" max="28" width="6.28125" style="0" customWidth="1"/>
    <col min="30" max="30" width="10.7109375" style="0" customWidth="1"/>
    <col min="31" max="31" width="6.28125" style="0" customWidth="1"/>
    <col min="32" max="32" width="7.7109375" style="0" customWidth="1"/>
    <col min="35" max="35" width="6.28125" style="0" customWidth="1"/>
    <col min="37" max="37" width="5.140625" style="0" customWidth="1"/>
    <col min="38" max="38" width="4.7109375" style="0" customWidth="1"/>
    <col min="40" max="40" width="7.421875" style="0" customWidth="1"/>
    <col min="41" max="41" width="7.28125" style="0" customWidth="1"/>
    <col min="42" max="42" width="9.421875" style="0" customWidth="1"/>
    <col min="43" max="43" width="9.140625" style="0" customWidth="1"/>
    <col min="44" max="44" width="8.140625" style="0" customWidth="1"/>
    <col min="45" max="45" width="9.140625" style="0" customWidth="1"/>
    <col min="46" max="46" width="8.57421875" style="0" customWidth="1"/>
    <col min="47" max="47" width="9.28125" style="0" customWidth="1"/>
    <col min="48" max="48" width="8.421875" style="0" customWidth="1"/>
    <col min="49" max="49" width="6.421875" style="0" customWidth="1"/>
    <col min="50" max="50" width="9.57421875" style="0" customWidth="1"/>
    <col min="51" max="51" width="35.421875" style="0" customWidth="1"/>
  </cols>
  <sheetData>
    <row r="1" spans="1:48" ht="12.75" customHeight="1">
      <c r="A1" s="63" t="s">
        <v>16</v>
      </c>
      <c r="B1" s="40" t="s">
        <v>15</v>
      </c>
      <c r="C1" s="212"/>
      <c r="D1" s="207"/>
      <c r="E1" s="207"/>
      <c r="F1" s="213"/>
      <c r="G1" s="192"/>
      <c r="H1" s="287" t="s">
        <v>32</v>
      </c>
      <c r="I1" s="288"/>
      <c r="J1" s="288"/>
      <c r="K1" s="289"/>
      <c r="L1" s="38" t="s">
        <v>39</v>
      </c>
      <c r="M1" s="37" t="s">
        <v>33</v>
      </c>
      <c r="N1" s="41" t="s">
        <v>35</v>
      </c>
      <c r="O1" s="287" t="s">
        <v>75</v>
      </c>
      <c r="P1" s="258"/>
      <c r="Q1" s="259"/>
      <c r="R1" s="287" t="s">
        <v>26</v>
      </c>
      <c r="S1" s="290"/>
      <c r="T1" s="287" t="s">
        <v>56</v>
      </c>
      <c r="U1" s="289"/>
      <c r="V1" s="287" t="s">
        <v>37</v>
      </c>
      <c r="W1" s="257"/>
      <c r="X1" s="257"/>
      <c r="Y1" s="289"/>
      <c r="Z1" s="257" t="s">
        <v>29</v>
      </c>
      <c r="AA1" s="288"/>
      <c r="AB1" s="41" t="s">
        <v>30</v>
      </c>
      <c r="AC1" s="287" t="s">
        <v>82</v>
      </c>
      <c r="AD1" s="257"/>
      <c r="AE1" s="288"/>
      <c r="AF1" s="289"/>
      <c r="AG1" s="287" t="s">
        <v>83</v>
      </c>
      <c r="AH1" s="257"/>
      <c r="AI1" s="257"/>
      <c r="AJ1" s="260" t="s">
        <v>273</v>
      </c>
      <c r="AK1" s="257"/>
      <c r="AL1" s="290"/>
      <c r="AM1" s="261" t="s">
        <v>157</v>
      </c>
      <c r="AN1" s="257"/>
      <c r="AO1" s="262"/>
      <c r="AP1" s="287" t="s">
        <v>67</v>
      </c>
      <c r="AQ1" s="257"/>
      <c r="AR1" s="257"/>
      <c r="AS1" s="257"/>
      <c r="AT1" s="290"/>
      <c r="AU1" s="287" t="s">
        <v>86</v>
      </c>
      <c r="AV1" s="289"/>
    </row>
    <row r="2" spans="1:48" ht="15">
      <c r="A2" s="37" t="s">
        <v>17</v>
      </c>
      <c r="B2" s="41" t="s">
        <v>18</v>
      </c>
      <c r="C2" s="206"/>
      <c r="D2" s="207"/>
      <c r="E2" s="207"/>
      <c r="F2" s="59"/>
      <c r="G2" s="192"/>
      <c r="H2" s="37" t="s">
        <v>72</v>
      </c>
      <c r="I2" s="39" t="s">
        <v>70</v>
      </c>
      <c r="J2" s="39" t="s">
        <v>71</v>
      </c>
      <c r="K2" s="41" t="s">
        <v>73</v>
      </c>
      <c r="L2" s="38" t="s">
        <v>40</v>
      </c>
      <c r="M2" s="37" t="s">
        <v>74</v>
      </c>
      <c r="N2" s="41" t="s">
        <v>36</v>
      </c>
      <c r="O2" s="38" t="s">
        <v>75</v>
      </c>
      <c r="P2" s="38" t="s">
        <v>76</v>
      </c>
      <c r="Q2" s="38" t="s">
        <v>44</v>
      </c>
      <c r="R2" s="37" t="s">
        <v>69</v>
      </c>
      <c r="S2" s="41" t="s">
        <v>35</v>
      </c>
      <c r="T2" s="37" t="s">
        <v>69</v>
      </c>
      <c r="U2" s="41" t="s">
        <v>35</v>
      </c>
      <c r="V2" s="37" t="s">
        <v>78</v>
      </c>
      <c r="W2" s="39" t="s">
        <v>79</v>
      </c>
      <c r="X2" s="39" t="s">
        <v>76</v>
      </c>
      <c r="Y2" s="41" t="s">
        <v>77</v>
      </c>
      <c r="Z2" s="39" t="s">
        <v>80</v>
      </c>
      <c r="AA2" s="214" t="s">
        <v>163</v>
      </c>
      <c r="AB2" s="41" t="s">
        <v>31</v>
      </c>
      <c r="AC2" s="37" t="s">
        <v>69</v>
      </c>
      <c r="AD2" s="39" t="s">
        <v>49</v>
      </c>
      <c r="AE2" s="41" t="s">
        <v>50</v>
      </c>
      <c r="AF2" s="39" t="s">
        <v>76</v>
      </c>
      <c r="AG2" s="37" t="s">
        <v>69</v>
      </c>
      <c r="AH2" s="39" t="s">
        <v>49</v>
      </c>
      <c r="AI2" s="39" t="s">
        <v>51</v>
      </c>
      <c r="AJ2" s="54" t="s">
        <v>69</v>
      </c>
      <c r="AK2" s="39" t="s">
        <v>49</v>
      </c>
      <c r="AL2" s="41" t="s">
        <v>51</v>
      </c>
      <c r="AM2" s="37" t="s">
        <v>158</v>
      </c>
      <c r="AN2" s="39" t="s">
        <v>49</v>
      </c>
      <c r="AO2" s="56" t="s">
        <v>51</v>
      </c>
      <c r="AP2" s="37" t="s">
        <v>66</v>
      </c>
      <c r="AQ2" s="39" t="s">
        <v>62</v>
      </c>
      <c r="AR2" s="39" t="s">
        <v>63</v>
      </c>
      <c r="AS2" s="39" t="s">
        <v>64</v>
      </c>
      <c r="AT2" s="41" t="s">
        <v>65</v>
      </c>
      <c r="AU2" s="37" t="s">
        <v>69</v>
      </c>
      <c r="AV2" s="41" t="s">
        <v>35</v>
      </c>
    </row>
    <row r="3" spans="1:49" ht="15.75" thickBot="1">
      <c r="A3" s="37"/>
      <c r="B3" s="41"/>
      <c r="C3" s="210"/>
      <c r="D3" s="211"/>
      <c r="E3" s="211"/>
      <c r="F3" s="193"/>
      <c r="G3" s="198"/>
      <c r="H3" s="37" t="s">
        <v>42</v>
      </c>
      <c r="I3" s="39" t="s">
        <v>42</v>
      </c>
      <c r="J3" s="39" t="s">
        <v>42</v>
      </c>
      <c r="K3" s="41" t="s">
        <v>42</v>
      </c>
      <c r="L3" s="39" t="s">
        <v>41</v>
      </c>
      <c r="M3" s="37" t="s">
        <v>34</v>
      </c>
      <c r="N3" s="41" t="s">
        <v>34</v>
      </c>
      <c r="O3" s="39" t="s">
        <v>19</v>
      </c>
      <c r="P3" s="39" t="s">
        <v>59</v>
      </c>
      <c r="Q3" s="39" t="s">
        <v>57</v>
      </c>
      <c r="R3" s="37" t="s">
        <v>27</v>
      </c>
      <c r="S3" s="41" t="s">
        <v>27</v>
      </c>
      <c r="T3" s="37" t="s">
        <v>28</v>
      </c>
      <c r="U3" s="41" t="s">
        <v>28</v>
      </c>
      <c r="V3" s="37" t="s">
        <v>19</v>
      </c>
      <c r="W3" s="39" t="s">
        <v>19</v>
      </c>
      <c r="X3" s="39" t="s">
        <v>58</v>
      </c>
      <c r="Y3" s="41" t="s">
        <v>57</v>
      </c>
      <c r="Z3" s="39"/>
      <c r="AA3" s="39"/>
      <c r="AB3" s="41" t="s">
        <v>38</v>
      </c>
      <c r="AC3" s="37" t="s">
        <v>19</v>
      </c>
      <c r="AD3" s="39" t="s">
        <v>19</v>
      </c>
      <c r="AE3" s="41" t="s">
        <v>38</v>
      </c>
      <c r="AF3" s="39" t="s">
        <v>58</v>
      </c>
      <c r="AG3" s="37" t="s">
        <v>52</v>
      </c>
      <c r="AH3" s="39" t="s">
        <v>52</v>
      </c>
      <c r="AI3" s="39" t="s">
        <v>38</v>
      </c>
      <c r="AJ3" s="54" t="s">
        <v>68</v>
      </c>
      <c r="AK3" s="39" t="s">
        <v>68</v>
      </c>
      <c r="AL3" s="41" t="s">
        <v>38</v>
      </c>
      <c r="AM3" s="37" t="s">
        <v>57</v>
      </c>
      <c r="AN3" s="39" t="s">
        <v>57</v>
      </c>
      <c r="AO3" s="56" t="s">
        <v>38</v>
      </c>
      <c r="AP3" s="128"/>
      <c r="AQ3" s="59"/>
      <c r="AR3" s="59"/>
      <c r="AS3" s="59"/>
      <c r="AT3" s="126"/>
      <c r="AU3" s="45" t="s">
        <v>87</v>
      </c>
      <c r="AV3" s="47"/>
      <c r="AW3" s="10"/>
    </row>
    <row r="4" spans="1:50" ht="12.75">
      <c r="A4" s="199"/>
      <c r="B4" s="98"/>
      <c r="C4" s="9"/>
      <c r="D4" s="10"/>
      <c r="E4" s="10"/>
      <c r="F4" s="10"/>
      <c r="G4" s="11"/>
      <c r="H4" s="330" t="s">
        <v>275</v>
      </c>
      <c r="I4" s="331"/>
      <c r="J4" s="331"/>
      <c r="K4" s="331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9"/>
      <c r="AQ4" s="99"/>
      <c r="AR4" s="99"/>
      <c r="AS4" s="99"/>
      <c r="AT4" s="99"/>
      <c r="AU4" s="99"/>
      <c r="AV4" s="99"/>
      <c r="AW4" s="10"/>
      <c r="AX4" s="10"/>
    </row>
    <row r="5" spans="1:50" ht="13.5" thickBot="1">
      <c r="A5" s="60">
        <v>0.0001</v>
      </c>
      <c r="B5" s="319" t="s">
        <v>125</v>
      </c>
      <c r="C5" s="9"/>
      <c r="D5" s="10"/>
      <c r="E5" s="10"/>
      <c r="F5" s="10"/>
      <c r="G5" s="11"/>
      <c r="H5" s="332" t="s">
        <v>164</v>
      </c>
      <c r="I5" s="299" t="e">
        <f>IMDIV(COMPLEX(0,$D$14*$B5,"j"),COMPLEX(1,$B5*$D$20*$D$14,"j"))</f>
        <v>#VALUE!</v>
      </c>
      <c r="J5" s="299" t="e">
        <f>IMDIV(COMPLEX(0,$D$14*$B5,"j"),COMPLEX(1,$B5*$D$20*$D$14,"j"))</f>
        <v>#VALUE!</v>
      </c>
      <c r="K5" s="299" t="e">
        <f>IMDIV(COMPLEX(0,$D$14*$B5,"j"),COMPLEX(1,$B5*$D$20*$D$14,"j"))</f>
        <v>#VALUE!</v>
      </c>
      <c r="L5" s="299" t="e">
        <f>IMDIV(COMPLEX(0,$D$14*$B5,"j"),COMPLEX(1,$B5*$D$20*$D$14,"j"))</f>
        <v>#VALUE!</v>
      </c>
      <c r="M5" s="299" t="e">
        <f>IMDIV(COMPLEX(0,$D$14*$B5,"j"),COMPLEX(1,$B5*$D$20*$D$14,"j"))</f>
        <v>#VALUE!</v>
      </c>
      <c r="N5" s="300" t="e">
        <f>IMDIV(COMPLEX(0,$D$14*$B5,"j"),COMPLEX(1,$B5*$D$20*$D$14,"j"))</f>
        <v>#VALUE!</v>
      </c>
      <c r="O5" s="81"/>
      <c r="P5" s="83"/>
      <c r="Q5" s="333" t="s">
        <v>172</v>
      </c>
      <c r="R5" s="334" t="e">
        <f>+$O5*$D$19*$B5</f>
        <v>#VALUE!</v>
      </c>
      <c r="S5" s="82"/>
      <c r="T5" s="263" t="s">
        <v>175</v>
      </c>
      <c r="U5" s="264" t="e">
        <f>IMPRODUCT(IMDIV($D$23,COMPLEX(1,$B5*$D$31,"j")),$AU5)</f>
        <v>#VALUE!</v>
      </c>
      <c r="V5" s="264" t="e">
        <f>IMPRODUCT(IMDIV($D$23,COMPLEX(1,$B5*$D$31,"j")),$AU5)</f>
        <v>#VALUE!</v>
      </c>
      <c r="W5" s="299" t="e">
        <f>IMPRODUCT(IMDIV($D$23,COMPLEX(1,$B5*$D$31,"j")),$AU5)</f>
        <v>#VALUE!</v>
      </c>
      <c r="X5" s="299" t="e">
        <f>IMPRODUCT(IMDIV($D$23,COMPLEX(1,$B5*$D$31,"j")),$AU5)</f>
        <v>#VALUE!</v>
      </c>
      <c r="Y5" s="300" t="e">
        <f>IMPRODUCT(IMDIV($D$23,COMPLEX(1,$B5*$D$31,"j")),$AU5)</f>
        <v>#VALUE!</v>
      </c>
      <c r="Z5" s="332" t="s">
        <v>181</v>
      </c>
      <c r="AA5" s="299" t="e">
        <f>IMPRODUCT($M5,$V5)</f>
        <v>#VALUE!</v>
      </c>
      <c r="AB5" s="300" t="e">
        <f>IMPRODUCT($M5,$V5)</f>
        <v>#VALUE!</v>
      </c>
      <c r="AC5" s="147"/>
      <c r="AD5" s="332" t="s">
        <v>185</v>
      </c>
      <c r="AE5" s="300">
        <f>IMABS($AC5)</f>
        <v>0</v>
      </c>
      <c r="AF5" s="83"/>
      <c r="AG5" s="332" t="s">
        <v>188</v>
      </c>
      <c r="AH5" s="264" t="e">
        <f>IMPRODUCT($AC5,COMPLEX(0,$B5,"j"),COMPLEX($D$19,0,"j"))</f>
        <v>#VALUE!</v>
      </c>
      <c r="AI5" s="264" t="e">
        <f>IMPRODUCT($AC5,COMPLEX(0,$B5,"j"),COMPLEX($D$19,0,"j"))</f>
        <v>#VALUE!</v>
      </c>
      <c r="AJ5" s="299" t="e">
        <f>IMPRODUCT($AC5,COMPLEX(0,$B5,"j"),COMPLEX($D$19,0,"j"))</f>
        <v>#VALUE!</v>
      </c>
      <c r="AK5" s="299" t="e">
        <f>IMPRODUCT($AC5,COMPLEX(0,$B5,"j"),COMPLEX($D$19,0,"j"))</f>
        <v>#VALUE!</v>
      </c>
      <c r="AL5" s="299" t="e">
        <f>IMPRODUCT($AC5,COMPLEX(0,$B5,"j"),COMPLEX($D$19,0,"j"))</f>
        <v>#VALUE!</v>
      </c>
      <c r="AM5" s="299" t="e">
        <f>IMPRODUCT($AC5,COMPLEX(0,$B5,"j"),COMPLEX($D$19,0,"j"))</f>
        <v>#VALUE!</v>
      </c>
      <c r="AN5" s="300" t="e">
        <f>IMPRODUCT($AC5,COMPLEX(0,$B5,"j"),COMPLEX($D$19,0,"j"))</f>
        <v>#VALUE!</v>
      </c>
      <c r="AO5" s="332" t="s">
        <v>195</v>
      </c>
      <c r="AP5" s="299" t="e">
        <f>180/PI()*IMARGUMENT($AM5)</f>
        <v>#VALUE!</v>
      </c>
      <c r="AQ5" s="299" t="e">
        <f>180/PI()*IMARGUMENT($AM5)</f>
        <v>#VALUE!</v>
      </c>
      <c r="AR5" s="300" t="e">
        <f>180/PI()*IMARGUMENT($AM5)</f>
        <v>#VALUE!</v>
      </c>
      <c r="AS5" s="332" t="s">
        <v>199</v>
      </c>
      <c r="AT5" s="299" t="e">
        <f>$B5*$B5*$D$19*$D$17*$D$15/$D$18</f>
        <v>#VALUE!</v>
      </c>
      <c r="AU5" s="299" t="e">
        <f>$B5*$B5*$D$19*$D$17*$D$15/$D$18</f>
        <v>#VALUE!</v>
      </c>
      <c r="AV5" s="300" t="e">
        <f>$B5*$B5*$D$19*$D$17*$D$15/$D$18</f>
        <v>#VALUE!</v>
      </c>
      <c r="AW5" s="197" t="s">
        <v>203</v>
      </c>
      <c r="AX5" s="198"/>
    </row>
    <row r="6" spans="1:49" ht="13.5" thickBot="1">
      <c r="A6" s="131"/>
      <c r="B6" s="132"/>
      <c r="C6" s="9"/>
      <c r="D6" s="10"/>
      <c r="E6" s="10"/>
      <c r="F6" s="10"/>
      <c r="G6" s="11"/>
      <c r="H6" s="146"/>
      <c r="I6" s="327" t="s">
        <v>126</v>
      </c>
      <c r="J6" s="328" t="str">
        <f>COMPLEX(1/$D$16,0,"j")</f>
        <v>1.72117039586919E-006</v>
      </c>
      <c r="K6" s="329" t="str">
        <f>COMPLEX(1/$D$16,0,"j")</f>
        <v>1.72117039586919E-006</v>
      </c>
      <c r="L6" s="327" t="s">
        <v>167</v>
      </c>
      <c r="M6" s="328" t="str">
        <f>COMPLEX($D$18,0,"j")</f>
        <v>12.98</v>
      </c>
      <c r="N6" s="329" t="str">
        <f>COMPLEX($D$18,0,"j")</f>
        <v>12.98</v>
      </c>
      <c r="O6" s="159" t="s">
        <v>170</v>
      </c>
      <c r="P6" s="159" t="s">
        <v>171</v>
      </c>
      <c r="R6" s="327" t="s">
        <v>173</v>
      </c>
      <c r="S6" s="328" t="str">
        <f>IMDIV(COMPLEX(1/$D$29,0,"j"),COMPLEX(1-$B6*$B6*$D$30*$D$30,$B6*2*$D$21*$D$30,"j"))</f>
        <v>0.202642367284676</v>
      </c>
      <c r="T6" s="328" t="str">
        <f>IMDIV(COMPLEX(1/$D$29,0,"j"),COMPLEX(1-$B6*$B6*$D$30*$D$30,$B6*2*$D$21*$D$30,"j"))</f>
        <v>0.202642367284676</v>
      </c>
      <c r="U6" s="328" t="str">
        <f>IMDIV(COMPLEX(1/$D$29,0,"j"),COMPLEX(1-$B6*$B6*$D$30*$D$30,$B6*2*$D$21*$D$30,"j"))</f>
        <v>0.202642367284676</v>
      </c>
      <c r="V6" s="328" t="str">
        <f>IMDIV(COMPLEX(1/$D$29,0,"j"),COMPLEX(1-$B6*$B6*$D$30*$D$30,$B6*2*$D$21*$D$30,"j"))</f>
        <v>0.202642367284676</v>
      </c>
      <c r="W6" s="328" t="str">
        <f>IMDIV(COMPLEX(1/$D$29,0,"j"),COMPLEX(1-$B6*$B6*$D$30*$D$30,$B6*2*$D$21*$D$30,"j"))</f>
        <v>0.202642367284676</v>
      </c>
      <c r="X6" s="328" t="str">
        <f>IMDIV(COMPLEX(1/$D$29,0,"j"),COMPLEX(1-$B6*$B6*$D$30*$D$30,$B6*2*$D$21*$D$30,"j"))</f>
        <v>0.202642367284676</v>
      </c>
      <c r="Y6" s="328" t="str">
        <f>IMDIV(COMPLEX(1/$D$29,0,"j"),COMPLEX(1-$B6*$B6*$D$30*$D$30,$B6*2*$D$21*$D$30,"j"))</f>
        <v>0.202642367284676</v>
      </c>
      <c r="Z6" s="329" t="str">
        <f>IMDIV(COMPLEX(1/$D$29,0,"j"),COMPLEX(1-$B6*$B6*$D$30*$D$30,$B6*2*$D$21*$D$30,"j"))</f>
        <v>0.202642367284676</v>
      </c>
      <c r="AA6" s="327" t="s">
        <v>182</v>
      </c>
      <c r="AB6" s="329">
        <f>IMABS($Z6)</f>
        <v>0.202642367284676</v>
      </c>
      <c r="AC6" s="327" t="s">
        <v>184</v>
      </c>
      <c r="AD6" s="335" t="str">
        <f>IMDIV($V6,IMSUM(1,IMPRODUCT($V6,$M6)))</f>
        <v>5.58197622728761E-002</v>
      </c>
      <c r="AE6" s="328" t="str">
        <f>IMDIV($V6,IMSUM(1,IMPRODUCT($V6,$M6)))</f>
        <v>5.58197622728761E-002</v>
      </c>
      <c r="AF6" s="328" t="str">
        <f>IMDIV($V6,IMSUM(1,IMPRODUCT($V6,$M6)))</f>
        <v>5.58197622728761E-002</v>
      </c>
      <c r="AG6" s="329" t="str">
        <f>IMDIV($V6,IMSUM(1,IMPRODUCT($V6,$M6)))</f>
        <v>5.58197622728761E-002</v>
      </c>
      <c r="AH6" s="327" t="s">
        <v>189</v>
      </c>
      <c r="AI6" s="329" t="e">
        <f>IMABS(AH6)</f>
        <v>#NUM!</v>
      </c>
      <c r="AJ6" s="327" t="s">
        <v>274</v>
      </c>
      <c r="AK6" s="328" t="str">
        <f>IMDIV(COMPLEX(0,$B6,"j"),COMPLEX(0.0105,$B6,"j"))</f>
        <v>0</v>
      </c>
      <c r="AL6" s="328" t="str">
        <f>IMDIV(COMPLEX(0,$B6,"j"),COMPLEX(0.0105,$B6,"j"))</f>
        <v>0</v>
      </c>
      <c r="AM6" s="328" t="str">
        <f>IMDIV(COMPLEX(0,$B6,"j"),COMPLEX(0.0105,$B6,"j"))</f>
        <v>0</v>
      </c>
      <c r="AN6" s="328" t="str">
        <f>IMDIV(COMPLEX(0,$B6,"j"),COMPLEX(0.0105,$B6,"j"))</f>
        <v>0</v>
      </c>
      <c r="AO6" s="328" t="str">
        <f>IMDIV(COMPLEX(0,$B6,"j"),COMPLEX(0.0105,$B6,"j"))</f>
        <v>0</v>
      </c>
      <c r="AP6" s="302" t="str">
        <f>IMDIV(COMPLEX(0,$B6,"j"),COMPLEX(0.0105,$B6,"j"))</f>
        <v>0</v>
      </c>
      <c r="AQ6" s="286" t="s">
        <v>197</v>
      </c>
      <c r="AR6" s="302" t="e">
        <f>$D$23/$B6</f>
        <v>#DIV/0!</v>
      </c>
      <c r="AS6" s="130"/>
      <c r="AT6" s="327" t="s">
        <v>200</v>
      </c>
      <c r="AU6" s="303">
        <f>$D$19/($D$14*$D$18)</f>
        <v>1598.3734951313543</v>
      </c>
      <c r="AV6" s="302">
        <f>$D$19/($D$14*$D$18)</f>
        <v>1598.3734951313543</v>
      </c>
      <c r="AW6" s="160"/>
    </row>
    <row r="7" spans="1:51" ht="13.5" thickBot="1">
      <c r="A7" s="37"/>
      <c r="B7" s="39"/>
      <c r="C7" s="9"/>
      <c r="D7" s="10"/>
      <c r="E7" s="10"/>
      <c r="F7" s="10"/>
      <c r="G7" s="11"/>
      <c r="H7" s="39"/>
      <c r="J7" s="327" t="s">
        <v>166</v>
      </c>
      <c r="K7" s="328" t="str">
        <f>IMPRODUCT(1/$D$17,IMDIV(COMPLEX(1/$D$15,0,"j"),COMPLEX(1/$D$15,$B7,"j")))</f>
        <v>9.34579439252337E-006</v>
      </c>
      <c r="L7" s="328" t="str">
        <f>IMPRODUCT(1/$D$17,IMDIV(COMPLEX(1/$D$15,0,"j"),COMPLEX(1/$D$15,$B7,"j")))</f>
        <v>9.34579439252337E-006</v>
      </c>
      <c r="M7" s="328" t="str">
        <f>IMPRODUCT(1/$D$17,IMDIV(COMPLEX(1/$D$15,0,"j"),COMPLEX(1/$D$15,$B7,"j")))</f>
        <v>9.34579439252337E-006</v>
      </c>
      <c r="N7" s="328" t="str">
        <f>IMPRODUCT(1/$D$17,IMDIV(COMPLEX(1/$D$15,0,"j"),COMPLEX(1/$D$15,$B7,"j")))</f>
        <v>9.34579439252337E-006</v>
      </c>
      <c r="O7" s="328" t="str">
        <f>IMPRODUCT(1/$D$17,IMDIV(COMPLEX(1/$D$15,0,"j"),COMPLEX(1/$D$15,$B7,"j")))</f>
        <v>9.34579439252337E-006</v>
      </c>
      <c r="P7" s="328" t="str">
        <f>IMPRODUCT(1/$D$17,IMDIV(COMPLEX(1/$D$15,0,"j"),COMPLEX(1/$D$15,$B7,"j")))</f>
        <v>9.34579439252337E-006</v>
      </c>
      <c r="Q7" s="329" t="str">
        <f>IMPRODUCT(1/$D$17,IMDIV(COMPLEX(1/$D$15,0,"j"),COMPLEX(1/$D$15,$B7,"j")))</f>
        <v>9.34579439252337E-006</v>
      </c>
      <c r="S7" s="327" t="s">
        <v>174</v>
      </c>
      <c r="T7" s="329">
        <f>IMABS($R7)</f>
        <v>0</v>
      </c>
      <c r="U7" s="336" t="s">
        <v>176</v>
      </c>
      <c r="V7" s="302">
        <f>IMABS($T7)</f>
        <v>0</v>
      </c>
      <c r="W7" s="286" t="s">
        <v>178</v>
      </c>
      <c r="X7" s="303"/>
      <c r="Y7" s="327" t="s">
        <v>180</v>
      </c>
      <c r="Z7" s="329">
        <f>$W8*$D$19*$B8</f>
        <v>0</v>
      </c>
      <c r="AB7" s="327" t="s">
        <v>183</v>
      </c>
      <c r="AC7" s="335" t="e">
        <f>180/PI()*IMARGUMENT(#REF!)</f>
        <v>#REF!</v>
      </c>
      <c r="AD7" s="329" t="e">
        <f>180/PI()*IMARGUMENT(#REF!)</f>
        <v>#REF!</v>
      </c>
      <c r="AE7" s="327" t="s">
        <v>186</v>
      </c>
      <c r="AF7" s="335" t="e">
        <f>180/PI()*IMARGUMENT($AC7)</f>
        <v>#REF!</v>
      </c>
      <c r="AG7" s="328" t="e">
        <f>180/PI()*IMARGUMENT($AC7)</f>
        <v>#REF!</v>
      </c>
      <c r="AH7" s="329" t="e">
        <f>180/PI()*IMARGUMENT($AC7)</f>
        <v>#REF!</v>
      </c>
      <c r="AI7" s="327" t="s">
        <v>190</v>
      </c>
      <c r="AJ7" s="335" t="e">
        <f>180/PI()*IMARGUMENT($AG7)</f>
        <v>#REF!</v>
      </c>
      <c r="AK7" s="328" t="e">
        <f>180/PI()*IMARGUMENT($AG7)</f>
        <v>#REF!</v>
      </c>
      <c r="AL7" s="328" t="e">
        <f>180/PI()*IMARGUMENT($AG7)</f>
        <v>#REF!</v>
      </c>
      <c r="AM7" s="329" t="e">
        <f>180/PI()*IMARGUMENT($AG7)</f>
        <v>#REF!</v>
      </c>
      <c r="AN7" s="327" t="s">
        <v>194</v>
      </c>
      <c r="AO7" s="329" t="e">
        <f>IMABS(AN7)</f>
        <v>#NUM!</v>
      </c>
      <c r="AP7" s="327" t="s">
        <v>196</v>
      </c>
      <c r="AQ7" s="328"/>
      <c r="AR7" s="328"/>
      <c r="AS7" s="329"/>
      <c r="AT7" s="157"/>
      <c r="AU7" s="301" t="s">
        <v>201</v>
      </c>
      <c r="AV7" s="328">
        <f>IF($D$40,IMDIV(COMPLEX($D$35,$B7,"j"),COMPLEX($D$34,$B7,"j")),1)</f>
        <v>1</v>
      </c>
      <c r="AW7" s="328">
        <f>IF($D$40,IMDIV(COMPLEX($D$35,$B7,"j"),COMPLEX($D$34,$B7,"j")),1)</f>
        <v>1</v>
      </c>
      <c r="AX7" s="328">
        <f>IF($D$40,IMDIV(COMPLEX($D$35,$B7,"j"),COMPLEX($D$34,$B7,"j")),1)</f>
        <v>1</v>
      </c>
      <c r="AY7" s="329">
        <f>IF($D$40,IMDIV(COMPLEX($D$35,$B7,"j"),COMPLEX($D$34,$B7,"j")),1)</f>
        <v>1</v>
      </c>
    </row>
    <row r="8" spans="1:54" ht="13.5" thickBot="1">
      <c r="A8" s="37"/>
      <c r="B8" s="39"/>
      <c r="C8" s="9"/>
      <c r="D8" s="10"/>
      <c r="E8" s="10"/>
      <c r="F8" s="10"/>
      <c r="G8" s="11"/>
      <c r="H8" s="39"/>
      <c r="I8" s="39"/>
      <c r="K8" s="327" t="s">
        <v>165</v>
      </c>
      <c r="L8" s="328" t="str">
        <f>IMSUM($H8,$I8,$J8)</f>
        <v>0</v>
      </c>
      <c r="M8" s="329" t="str">
        <f>IMSUM($H8,$I8,$J8)</f>
        <v>0</v>
      </c>
      <c r="N8" s="341" t="s">
        <v>169</v>
      </c>
      <c r="O8" s="342"/>
      <c r="V8" s="327" t="s">
        <v>177</v>
      </c>
      <c r="W8" s="328"/>
      <c r="X8" s="329"/>
      <c r="AF8" s="332" t="s">
        <v>187</v>
      </c>
      <c r="AG8" s="300">
        <f>$AD8*$D$19</f>
        <v>0</v>
      </c>
      <c r="AK8" s="327" t="s">
        <v>191</v>
      </c>
      <c r="AL8" s="335" t="e">
        <f>IMABS(AK8)</f>
        <v>#NUM!</v>
      </c>
      <c r="AM8" s="302" t="e">
        <f>IMABS(AL8)</f>
        <v>#NUM!</v>
      </c>
      <c r="AR8" s="327" t="s">
        <v>198</v>
      </c>
      <c r="AS8" s="328">
        <f>$B8*$D$19/($D$18*(1/$D$16+1/$D$17))</f>
        <v>0</v>
      </c>
      <c r="AT8" s="328">
        <f>$B8*$D$19/($D$18*(1/$D$16+1/$D$17))</f>
        <v>0</v>
      </c>
      <c r="AU8" s="329">
        <f>$B8*$D$19/($D$18*(1/$D$16+1/$D$17))</f>
        <v>0</v>
      </c>
      <c r="AV8" s="327" t="s">
        <v>202</v>
      </c>
      <c r="AW8" s="329" t="e">
        <f>IMABS(AV8)</f>
        <v>#NUM!</v>
      </c>
      <c r="AZ8" s="158"/>
      <c r="BA8" s="129"/>
      <c r="BB8" s="129"/>
    </row>
    <row r="9" spans="1:54" ht="13.5" thickBot="1">
      <c r="A9" s="37"/>
      <c r="B9" s="39"/>
      <c r="C9" s="9"/>
      <c r="D9" s="10"/>
      <c r="E9" s="10"/>
      <c r="F9" s="10"/>
      <c r="G9" s="11"/>
      <c r="H9" s="39"/>
      <c r="I9" s="39"/>
      <c r="J9" s="144"/>
      <c r="K9" s="129"/>
      <c r="L9" s="129"/>
      <c r="M9" s="327" t="s">
        <v>168</v>
      </c>
      <c r="N9" s="328" t="str">
        <f>IMPRODUCT($L9,$K9)</f>
        <v>0</v>
      </c>
      <c r="O9" s="329" t="str">
        <f>IMPRODUCT($L9,$K9)</f>
        <v>0</v>
      </c>
      <c r="P9" s="129"/>
      <c r="Q9" s="129"/>
      <c r="X9" s="327" t="s">
        <v>179</v>
      </c>
      <c r="Y9" s="329" t="e">
        <f>$W7*$D$19</f>
        <v>#VALUE!</v>
      </c>
      <c r="AB9" s="129"/>
      <c r="AC9" s="39"/>
      <c r="AD9" s="39"/>
      <c r="AJ9" s="39"/>
      <c r="AK9" s="10"/>
      <c r="AL9" s="327" t="s">
        <v>192</v>
      </c>
      <c r="AM9" s="328" t="e">
        <f>180/PI()*IMARGUMENT($AJ9)</f>
        <v>#DIV/0!</v>
      </c>
      <c r="AN9" s="328" t="e">
        <f>180/PI()*IMARGUMENT($AJ9)</f>
        <v>#DIV/0!</v>
      </c>
      <c r="AO9" s="329" t="e">
        <f>180/PI()*IMARGUMENT($AJ9)</f>
        <v>#DIV/0!</v>
      </c>
      <c r="AP9" s="59"/>
      <c r="AQ9" s="59"/>
      <c r="AV9" s="127"/>
      <c r="AW9" s="127"/>
      <c r="AX9" s="129"/>
      <c r="AY9" s="129"/>
      <c r="AZ9" s="129"/>
      <c r="BA9" s="129"/>
      <c r="BB9" s="129"/>
    </row>
    <row r="10" spans="1:46" ht="13.5" thickBot="1">
      <c r="A10" s="37"/>
      <c r="B10" s="39"/>
      <c r="C10" s="9"/>
      <c r="D10" s="10"/>
      <c r="E10" s="10"/>
      <c r="F10" s="10"/>
      <c r="G10" s="11"/>
      <c r="H10" s="39"/>
      <c r="I10" s="39"/>
      <c r="J10" s="144"/>
      <c r="P10" s="39"/>
      <c r="Q10" s="39"/>
      <c r="R10" s="39"/>
      <c r="S10" s="39"/>
      <c r="T10" s="39"/>
      <c r="U10" s="39"/>
      <c r="V10" s="39"/>
      <c r="W10" s="39"/>
      <c r="X10" s="39"/>
      <c r="AC10" s="39"/>
      <c r="AD10" s="39"/>
      <c r="AE10" s="39"/>
      <c r="AM10" s="327" t="s">
        <v>193</v>
      </c>
      <c r="AN10" s="328" t="str">
        <f>IMPRODUCT(AH10,AK10)</f>
        <v>0</v>
      </c>
      <c r="AO10" s="329" t="str">
        <f>IMPRODUCT(AI10,AL10)</f>
        <v>0</v>
      </c>
      <c r="AP10" s="59"/>
      <c r="AQ10" s="59"/>
      <c r="AR10" s="59"/>
      <c r="AS10" s="59"/>
      <c r="AT10" s="59"/>
    </row>
    <row r="11" spans="1:47" ht="12.75">
      <c r="A11" s="37"/>
      <c r="B11" s="39"/>
      <c r="C11" s="9"/>
      <c r="D11" s="10"/>
      <c r="E11" s="10"/>
      <c r="F11" s="10"/>
      <c r="G11" s="11"/>
      <c r="H11" s="39"/>
      <c r="I11" s="39"/>
      <c r="J11" s="144"/>
      <c r="K11" s="145"/>
      <c r="L11" s="145"/>
      <c r="M11" s="144"/>
      <c r="N11" s="129"/>
      <c r="O11" s="129"/>
      <c r="P11" s="39"/>
      <c r="Q11" s="39"/>
      <c r="R11" s="39"/>
      <c r="U11" s="39"/>
      <c r="X11" s="161"/>
      <c r="Z11" s="39"/>
      <c r="AA11" s="39"/>
      <c r="AB11" s="39"/>
      <c r="AC11" s="39"/>
      <c r="AD11" s="39"/>
      <c r="AE11" s="39"/>
      <c r="AF11" s="39"/>
      <c r="AG11" s="39"/>
      <c r="AH11" s="39"/>
      <c r="AJ11" s="10"/>
      <c r="AS11" s="59"/>
      <c r="AT11" s="59"/>
      <c r="AU11" s="59"/>
    </row>
    <row r="12" spans="1:49" ht="13.5" thickBot="1">
      <c r="A12" s="42"/>
      <c r="B12" s="44"/>
      <c r="C12" s="81"/>
      <c r="D12" s="82"/>
      <c r="E12" s="82"/>
      <c r="F12" s="87"/>
      <c r="G12" s="88"/>
      <c r="H12" s="320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P12" s="46"/>
      <c r="AQ12" s="46"/>
      <c r="AR12" s="46"/>
      <c r="AS12" s="46"/>
      <c r="AT12" s="46"/>
      <c r="AU12" s="46"/>
      <c r="AV12" s="46"/>
      <c r="AW12" s="10"/>
    </row>
    <row r="13" spans="1:48" ht="13.5" thickBot="1">
      <c r="A13" s="30"/>
      <c r="B13" s="108"/>
      <c r="C13" s="324" t="s">
        <v>84</v>
      </c>
      <c r="D13" s="325"/>
      <c r="E13" s="326"/>
      <c r="F13" s="324" t="s">
        <v>85</v>
      </c>
      <c r="G13" s="326"/>
      <c r="H13" s="30"/>
      <c r="I13" s="31"/>
      <c r="J13" s="31"/>
      <c r="K13" s="32"/>
      <c r="L13" s="31"/>
      <c r="M13" s="30"/>
      <c r="N13" s="32"/>
      <c r="O13" s="109"/>
      <c r="P13" s="31"/>
      <c r="Q13" s="31"/>
      <c r="R13" s="30"/>
      <c r="S13" s="32"/>
      <c r="T13" s="110"/>
      <c r="U13" s="31"/>
      <c r="V13" s="30"/>
      <c r="W13" s="31"/>
      <c r="X13" s="31"/>
      <c r="Y13" s="32"/>
      <c r="Z13" s="31"/>
      <c r="AA13" s="31"/>
      <c r="AB13" s="32"/>
      <c r="AC13" s="30"/>
      <c r="AD13" s="31"/>
      <c r="AE13" s="32"/>
      <c r="AF13" s="31"/>
      <c r="AG13" s="30"/>
      <c r="AH13" s="31"/>
      <c r="AI13" s="31"/>
      <c r="AJ13" s="111"/>
      <c r="AK13" s="31"/>
      <c r="AL13" s="32"/>
      <c r="AM13" s="30"/>
      <c r="AN13" s="31"/>
      <c r="AO13" s="112"/>
      <c r="AP13" s="30"/>
      <c r="AQ13" s="31"/>
      <c r="AR13" s="31"/>
      <c r="AS13" s="31"/>
      <c r="AT13" s="32"/>
      <c r="AU13" s="113"/>
      <c r="AV13" s="114"/>
    </row>
    <row r="14" spans="1:50" ht="15" customHeight="1">
      <c r="A14" s="60">
        <v>0.0001</v>
      </c>
      <c r="B14" s="124">
        <f>2*PI()*A14</f>
        <v>0.0006283185307179586</v>
      </c>
      <c r="C14" s="190" t="s">
        <v>122</v>
      </c>
      <c r="D14" s="191">
        <v>2.41E-05</v>
      </c>
      <c r="E14" s="95" t="s">
        <v>48</v>
      </c>
      <c r="F14" s="179">
        <v>2.41E-05</v>
      </c>
      <c r="G14" s="11" t="b">
        <f aca="true" t="shared" si="0" ref="G14:G19">D14=F14</f>
        <v>1</v>
      </c>
      <c r="H14" s="9" t="str">
        <f>IMDIV(COMPLEX(0,$D$14*$B14,"j"),COMPLEX(1,$B14*$D$20*$D$14,"j"))</f>
        <v>1.83435677830291E-015+1.51424765903026E-008j</v>
      </c>
      <c r="I14" s="20" t="str">
        <f>COMPLEX(1/$D$16,0,"j")</f>
        <v>1.72117039586919E-006</v>
      </c>
      <c r="J14" s="10" t="str">
        <f>IMPRODUCT(1/$D$17,IMDIV(COMPLEX(1/$D$15,0,"j"),COMPLEX(1/$D$15,$B14,"j")))</f>
        <v>9.32200511946247E-006-4.7091796022448E-007j</v>
      </c>
      <c r="K14" s="11" t="str">
        <f>IMSUM($H14,$I14,$J14)</f>
        <v>1.1043175517166E-005-4.55775483634177E-007j</v>
      </c>
      <c r="L14" s="10" t="str">
        <f>COMPLEX($D$18,0,"j")</f>
        <v>12.98</v>
      </c>
      <c r="M14" s="9" t="str">
        <f>IMPRODUCT($L14,$K14)</f>
        <v>1.43340418212815E-004-5.91596577757162E-006j</v>
      </c>
      <c r="N14" s="11">
        <f>IMABS($M14)</f>
        <v>0.00014346244855189844</v>
      </c>
      <c r="O14" s="18">
        <f>1/$N14</f>
        <v>6970.465164187155</v>
      </c>
      <c r="P14" s="18">
        <f aca="true" t="shared" si="1" ref="P14:P45">$O14*$D$19</f>
        <v>3485.2325820935775</v>
      </c>
      <c r="Q14" s="115">
        <f aca="true" t="shared" si="2" ref="Q14:Q45">+$O14*$D$19*$B14</f>
        <v>2.1898362151913937</v>
      </c>
      <c r="R14" s="9" t="str">
        <f>IMDIV(COMPLEX(1/$D$29,0,"j"),COMPLEX(1-$B14*$B14*$D$30*$D$30,$B14*2*$D$21*$D$30,"j"))</f>
        <v>0.202642375066143-8.10569532687354E-006j</v>
      </c>
      <c r="S14" s="11">
        <f>IMABS($R14)</f>
        <v>0.2026423752282569</v>
      </c>
      <c r="T14" s="34" t="str">
        <f>IMPRODUCT(IMDIV($D$23,COMPLEX(1,$B14*$D$31,"j")),$AU14)</f>
        <v>376399.999999991-5.9597771930483E-002j</v>
      </c>
      <c r="U14" s="11">
        <f>IMABS($T14)</f>
        <v>376399.99999999563</v>
      </c>
      <c r="V14" s="9" t="str">
        <f>IMPRODUCT($R14,$T14)</f>
        <v>76274.5899744113-3.06306075508777j</v>
      </c>
      <c r="W14" s="189">
        <f>IMABS($V14)</f>
        <v>76274.59003591501</v>
      </c>
      <c r="X14" s="10">
        <f aca="true" t="shared" si="3" ref="X14:X45">$W14*$D$19</f>
        <v>38137.295017957505</v>
      </c>
      <c r="Y14" s="21">
        <f aca="true" t="shared" si="4" ref="Y14:Y45">$W14*$D$19*$B14</f>
        <v>23.962369171240383</v>
      </c>
      <c r="Z14" s="10" t="str">
        <f>IMPRODUCT($M14,$V14)</f>
        <v>10.9332135049805-0.45167692439657j</v>
      </c>
      <c r="AA14" s="18">
        <f>IMABS($Z14)</f>
        <v>10.9425394488446</v>
      </c>
      <c r="AB14" s="13">
        <f>180/PI()*IMARGUMENT($Z14)</f>
        <v>-2.3656790156937</v>
      </c>
      <c r="AC14" s="9" t="str">
        <f>IMDIV($V14,IMSUM(1,IMPRODUCT($V14,$M14)))</f>
        <v>6382.65518596531+241.329378873813j</v>
      </c>
      <c r="AD14" s="18">
        <f>IMABS($AC14)</f>
        <v>6387.215910867386</v>
      </c>
      <c r="AE14" s="16">
        <f>180/PI()*IMARGUMENT($AC14)</f>
        <v>2.1653326050800517</v>
      </c>
      <c r="AF14" s="33">
        <f aca="true" t="shared" si="5" ref="AF14:AF45">$AD14*$D$19</f>
        <v>3193.607955433693</v>
      </c>
      <c r="AG14" s="9" t="str">
        <f>IMPRODUCT($AC14,COMPLEX(0,$B14,"j"),COMPLEX($D$19,0,"j"))</f>
        <v>-7.58158603765359E-002+2.00517026426254j</v>
      </c>
      <c r="AH14" s="12">
        <f>IMABS(AG14)</f>
        <v>2.0066030582472805</v>
      </c>
      <c r="AI14" s="35">
        <f>180/PI()*IMARGUMENT($AG14)</f>
        <v>92.16533260508005</v>
      </c>
      <c r="AJ14" s="55" t="str">
        <f>IMDIV(COMPLEX(0,$B14,"j"),COMPLEX(1/$D$26,$B14,"j"))</f>
        <v>2.54545221751612E-003+5.03882217440193E-002j</v>
      </c>
      <c r="AK14" s="35">
        <f>IMABS(AJ14)</f>
        <v>0.050452474840349676</v>
      </c>
      <c r="AL14" s="13">
        <f>180/PI()*IMARGUMENT($AJ14)</f>
        <v>87.10805835644459</v>
      </c>
      <c r="AM14" s="36" t="str">
        <f>IMPRODUCT(AG14,AJ14)</f>
        <v>-0.101229949560093+1.28383871129797E-003j</v>
      </c>
      <c r="AN14" s="35">
        <f>IMABS(AM14)</f>
        <v>0.10123809031078963</v>
      </c>
      <c r="AO14" s="57">
        <f>180/PI()*IMARGUMENT($AM14)</f>
        <v>179.27339096152465</v>
      </c>
      <c r="AP14" s="204">
        <f aca="true" t="shared" si="6" ref="AP14:AP45">$B14*$D$19*$D$23/$D$29*D$35/D$34</f>
        <v>23.96236823191576</v>
      </c>
      <c r="AQ14" s="135">
        <f aca="true" t="shared" si="7" ref="AQ14:AQ45">$D$23/$B14</f>
        <v>599059205.7978941</v>
      </c>
      <c r="AR14" s="138">
        <f aca="true" t="shared" si="8" ref="AR14:AR45">$B14*$D$19/($D$18*(1/$D$16+1/$D$17))</f>
        <v>2.1869892689974364</v>
      </c>
      <c r="AS14" s="138">
        <f aca="true" t="shared" si="9" ref="AS14:AS45">$B14*$B14*$D$19*$D$17*$D$15/$D$18</f>
        <v>0.13082624459428588</v>
      </c>
      <c r="AT14" s="140">
        <f aca="true" t="shared" si="10" ref="AT14:AT45">$D$19/($D$14*$D$18)</f>
        <v>1598.3734951313543</v>
      </c>
      <c r="AU14" s="104">
        <f>IF($D$40,IMDIV(COMPLEX($D$35,$B14,"j"),COMPLEX($D$34,$B14,"j")),1)</f>
        <v>1</v>
      </c>
      <c r="AV14" s="105">
        <f>IMABS(AU14)</f>
        <v>1</v>
      </c>
      <c r="AW14">
        <f>U14/100</f>
        <v>3763.9999999999563</v>
      </c>
      <c r="AX14" s="354">
        <f>(AI14/360+0.5)/A14</f>
        <v>7560.14812791889</v>
      </c>
    </row>
    <row r="15" spans="1:50" ht="15" customHeight="1">
      <c r="A15" s="60">
        <v>0.00015000000000000001</v>
      </c>
      <c r="B15" s="124">
        <f aca="true" t="shared" si="11" ref="B15:B77">2*PI()*A15</f>
        <v>0.000942477796076938</v>
      </c>
      <c r="C15" s="295" t="s">
        <v>252</v>
      </c>
      <c r="D15" s="293">
        <v>80.4</v>
      </c>
      <c r="E15" s="96" t="s">
        <v>45</v>
      </c>
      <c r="F15" s="292">
        <v>80.4</v>
      </c>
      <c r="G15" s="11" t="b">
        <f t="shared" si="0"/>
        <v>1</v>
      </c>
      <c r="H15" s="9" t="str">
        <f>IMDIV(COMPLEX(0,$D$14*$B15,"j"),COMPLEX(1,$B15*$D$20*$D$14,"j"))</f>
        <v>4.1273027511815E-015+2.27137148854534E-008j</v>
      </c>
      <c r="I15" s="10" t="str">
        <f>COMPLEX(1/$D$16,0,"j")</f>
        <v>1.72117039586919E-006</v>
      </c>
      <c r="J15" s="10" t="str">
        <f>IMPRODUCT(1/$D$17,IMDIV(COMPLEX(1/$D$15,0,"j"),COMPLEX(1/$D$15,$B15,"j")))</f>
        <v>9.29243829737474E-006-7.04136508041932E-007j</v>
      </c>
      <c r="K15" s="11" t="str">
        <f>IMSUM($H15,$I15,$J15)</f>
        <v>1.10136086973712E-005-6.81422793156479E-007j</v>
      </c>
      <c r="L15" s="10" t="str">
        <f>COMPLEX($D$18,0,"j")</f>
        <v>12.98</v>
      </c>
      <c r="M15" s="9" t="str">
        <f>IMPRODUCT($L15,$K15)</f>
        <v>1.42956640891878E-004-8.8448678551711E-006j</v>
      </c>
      <c r="N15" s="11">
        <f>IMABS($M15)</f>
        <v>0.0001432299998689688</v>
      </c>
      <c r="O15" s="18">
        <f aca="true" t="shared" si="12" ref="O15:O78">1/$N15</f>
        <v>6981.777566954065</v>
      </c>
      <c r="P15" s="18">
        <f t="shared" si="1"/>
        <v>3490.8887834770326</v>
      </c>
      <c r="Q15" s="115">
        <f t="shared" si="2"/>
        <v>3.290085167001137</v>
      </c>
      <c r="R15" s="9" t="str">
        <f>IMDIV(COMPLEX(1/$D$29,0,"j"),COMPLEX(1-$B15*$B15*$D$30*$D$30,$B15*2*$D$21*$D$30,"j"))</f>
        <v>0.202642384792978-1.21585441818477E-005j</v>
      </c>
      <c r="S15" s="11">
        <f>IMABS($R15)</f>
        <v>0.20264238515773436</v>
      </c>
      <c r="T15" s="34" t="str">
        <f>IMPRODUCT(IMDIV($D$23,COMPLEX(1,$B15*$D$31,"j")),$AU15)</f>
        <v>376399.999999979-8.93966578957214E-002j</v>
      </c>
      <c r="U15" s="11">
        <f>IMABS($T15)</f>
        <v>376399.9999999896</v>
      </c>
      <c r="V15" s="9" t="str">
        <f>IMPRODUCT($R15,$T15)</f>
        <v>76274.5936349857-4.59459158199573j</v>
      </c>
      <c r="W15" s="189">
        <f>IMABS($V15)</f>
        <v>76274.59377336907</v>
      </c>
      <c r="X15" s="10">
        <f t="shared" si="3"/>
        <v>38137.29688668453</v>
      </c>
      <c r="Y15" s="21">
        <f t="shared" si="4"/>
        <v>35.94355551809431</v>
      </c>
      <c r="Z15" s="10" t="str">
        <f>IMPRODUCT($M15,$V15)</f>
        <v>10.9039190528952-0.675295528787155j</v>
      </c>
      <c r="AA15" s="18">
        <f>IMABS($Z15)</f>
        <v>10.924810056165319</v>
      </c>
      <c r="AB15" s="13">
        <f>180/PI()*IMARGUMENT($Z15)</f>
        <v>-3.5438845258132</v>
      </c>
      <c r="AC15" s="9" t="str">
        <f>IMDIV($V15,IMSUM(1,IMPRODUCT($V15,$M15)))</f>
        <v>6386.98705561888+361.940398817731j</v>
      </c>
      <c r="AD15" s="18">
        <f>IMABS($AC15)</f>
        <v>6397.234128976324</v>
      </c>
      <c r="AE15" s="16">
        <f>180/PI()*IMARGUMENT($AC15)</f>
        <v>3.243391827992755</v>
      </c>
      <c r="AF15" s="33">
        <f t="shared" si="5"/>
        <v>3198.617064488162</v>
      </c>
      <c r="AG15" s="9" t="str">
        <f>IMPRODUCT($AC15,COMPLEX(0,$B15,"j"),COMPLEX($D$19,0,"j"))</f>
        <v>-0.170560394694472+3.00979674187581j</v>
      </c>
      <c r="AH15" s="12">
        <f>IMABS(AG15)</f>
        <v>3.0146255614328914</v>
      </c>
      <c r="AI15" s="35">
        <f>180/PI()*IMARGUMENT($AG15)</f>
        <v>93.24339182799275</v>
      </c>
      <c r="AJ15" s="55" t="str">
        <f>IMDIV(COMPLEX(0,$B15,"j"),COMPLEX(1/$D$26,$B15,"j"))</f>
        <v>5.70910218090325E-003+7.53426063604867E-002j</v>
      </c>
      <c r="AK15" s="35">
        <f>IMABS(AJ15)</f>
        <v>0.07555860097237935</v>
      </c>
      <c r="AL15" s="13">
        <f>180/PI()*IMARGUMENT($AJ15)</f>
        <v>85.66668114239168</v>
      </c>
      <c r="AM15" s="36" t="str">
        <f>IMPRODUCT(AG15,AJ15)</f>
        <v>-0.22773967786955+4.33277246496383E-003j</v>
      </c>
      <c r="AN15" s="35">
        <f>IMABS(AM15)</f>
        <v>0.22778088987744238</v>
      </c>
      <c r="AO15" s="57">
        <f>180/PI()*IMARGUMENT($AM15)</f>
        <v>178.91007297038442</v>
      </c>
      <c r="AP15" s="204">
        <f t="shared" si="6"/>
        <v>35.94355234787365</v>
      </c>
      <c r="AQ15" s="135">
        <f t="shared" si="7"/>
        <v>399372803.8652627</v>
      </c>
      <c r="AR15" s="138">
        <f t="shared" si="8"/>
        <v>3.280483903496155</v>
      </c>
      <c r="AS15" s="138">
        <f t="shared" si="9"/>
        <v>0.2943590503371433</v>
      </c>
      <c r="AT15" s="140">
        <f t="shared" si="10"/>
        <v>1598.3734951313543</v>
      </c>
      <c r="AU15" s="106">
        <f>IF($D$40,IMDIV(COMPLEX($D$35,$B15,"j"),COMPLEX($D$34,$B15,"j")),1)</f>
        <v>1</v>
      </c>
      <c r="AV15" s="107">
        <f>IMABS(AU15)</f>
        <v>1</v>
      </c>
      <c r="AW15">
        <f aca="true" t="shared" si="13" ref="AW15:AW77">U15/100</f>
        <v>3763.999999999896</v>
      </c>
      <c r="AX15" s="354">
        <f aca="true" t="shared" si="14" ref="AX15:AX78">(AI15/360+0.5)/A15</f>
        <v>5060.062811629495</v>
      </c>
    </row>
    <row r="16" spans="1:50" ht="15" customHeight="1">
      <c r="A16" s="60">
        <v>0.0002</v>
      </c>
      <c r="B16" s="124">
        <f t="shared" si="11"/>
        <v>0.0012566370614359172</v>
      </c>
      <c r="C16" s="156" t="s">
        <v>123</v>
      </c>
      <c r="D16" s="247">
        <f>IF(D40,D38,D37)</f>
        <v>581000</v>
      </c>
      <c r="E16" s="95" t="s">
        <v>47</v>
      </c>
      <c r="F16" s="179">
        <v>581000</v>
      </c>
      <c r="G16" s="11" t="b">
        <f t="shared" si="0"/>
        <v>1</v>
      </c>
      <c r="H16" s="9" t="str">
        <f>IMDIV(COMPLEX(0,$D$14*$B16,"j"),COMPLEX(1,$B16*$D$20*$D$14,"j"))</f>
        <v>7.33742711321136E-015+3.02849531806038E-008j</v>
      </c>
      <c r="I16" s="10" t="str">
        <f>COMPLEX(1/$D$16,0,"j")</f>
        <v>1.72117039586919E-006</v>
      </c>
      <c r="J16" s="10" t="str">
        <f>IMPRODUCT(1/$D$17,IMDIV(COMPLEX(1/$D$15,0,"j"),COMPLEX(1/$D$15,$B16,"j")))</f>
        <v>9.25135844684181E-006-9.34698231391552E-007j</v>
      </c>
      <c r="K16" s="11" t="str">
        <f>IMSUM($H16,$I16,$J16)</f>
        <v>1.09725288500484E-005-9.04413278210948E-007j</v>
      </c>
      <c r="L16" s="10" t="str">
        <f>COMPLEX($D$18,0,"j")</f>
        <v>12.98</v>
      </c>
      <c r="M16" s="9" t="str">
        <f>IMPRODUCT($L16,$K16)</f>
        <v>1.42423424473628E-004-1.17392843511781E-005j</v>
      </c>
      <c r="N16" s="11">
        <f>IMABS($M16)</f>
        <v>0.00014290641215800303</v>
      </c>
      <c r="O16" s="18">
        <f t="shared" si="12"/>
        <v>6997.586636590947</v>
      </c>
      <c r="P16" s="18">
        <f t="shared" si="1"/>
        <v>3498.7933182954735</v>
      </c>
      <c r="Q16" s="115">
        <f t="shared" si="2"/>
        <v>4.396713354074445</v>
      </c>
      <c r="R16" s="9" t="str">
        <f>IMDIV(COMPLEX(1/$D$29,0,"j"),COMPLEX(1-$B16*$B16*$D$30*$D$30,$B16*2*$D$21*$D$30,"j"))</f>
        <v>0.202642398410548-1.6211394466667E-005j</v>
      </c>
      <c r="S16" s="11">
        <f>IMABS($R16)</f>
        <v>0.20264239905900389</v>
      </c>
      <c r="T16" s="34" t="str">
        <f>IMPRODUCT(IMDIV($D$23,COMPLEX(1,$B16*$D$31,"j")),$AU16)</f>
        <v>376399.999999962-0.119195543860957j</v>
      </c>
      <c r="U16" s="11">
        <f>IMABS($T16)</f>
        <v>376399.9999999809</v>
      </c>
      <c r="V16" s="9" t="str">
        <f>IMPRODUCT($R16,$T16)</f>
        <v>76274.5987597903-6.12612294814068j</v>
      </c>
      <c r="W16" s="189">
        <f>IMABS($V16)</f>
        <v>76274.59900580524</v>
      </c>
      <c r="X16" s="10">
        <f t="shared" si="3"/>
        <v>38137.29950290262</v>
      </c>
      <c r="Y16" s="21">
        <f t="shared" si="4"/>
        <v>47.924743978429014</v>
      </c>
      <c r="Z16" s="10" t="str">
        <f>IMPRODUCT($M16,$V16)</f>
        <v>10.863217639422-0.896281707022216j</v>
      </c>
      <c r="AA16" s="18">
        <f>IMABS($Z16)</f>
        <v>10.900129282709997</v>
      </c>
      <c r="AB16" s="13">
        <f>180/PI()*IMARGUMENT($Z16)</f>
        <v>-4.716568303092421</v>
      </c>
      <c r="AC16" s="9" t="str">
        <f>IMDIV($V16,IMSUM(1,IMPRODUCT($V16,$M16)))</f>
        <v>6393.05092254669+482.487015324692j</v>
      </c>
      <c r="AD16" s="18">
        <f>IMABS($AC16)</f>
        <v>6411.231848734846</v>
      </c>
      <c r="AE16" s="16">
        <f>180/PI()*IMARGUMENT($AC16)</f>
        <v>4.315961629368766</v>
      </c>
      <c r="AF16" s="33">
        <f t="shared" si="5"/>
        <v>3205.615924367423</v>
      </c>
      <c r="AG16" s="9" t="str">
        <f>IMPRODUCT($AC16,COMPLEX(0,$B16,"j"),COMPLEX($D$19,0,"j"))</f>
        <v>-0.303155532559304+4.01687236245964j</v>
      </c>
      <c r="AH16" s="12">
        <f>IMABS(AG16)</f>
        <v>4.028295775289274</v>
      </c>
      <c r="AI16" s="35">
        <f>180/PI()*IMARGUMENT($AG16)</f>
        <v>94.31596162936876</v>
      </c>
      <c r="AJ16" s="55" t="str">
        <f>IMDIV(COMPLEX(0,$B16,"j"),COMPLEX(1/$D$26,$B16,"j"))</f>
        <v>1.01046461879257E-002+0.100012710758896j</v>
      </c>
      <c r="AK16" s="35">
        <f>IMABS(AJ16)</f>
        <v>0.10052186920230718</v>
      </c>
      <c r="AL16" s="13">
        <f>180/PI()*IMARGUMENT($AJ16)</f>
        <v>84.23077719126998</v>
      </c>
      <c r="AM16" s="36" t="str">
        <f>IMPRODUCT(AG16,AJ16)</f>
        <v>-0.404801573138503+1.02696674118992E-002j</v>
      </c>
      <c r="AN16" s="35">
        <f>IMABS(AM16)</f>
        <v>0.4049318210318348</v>
      </c>
      <c r="AO16" s="57">
        <f>180/PI()*IMARGUMENT($AM16)</f>
        <v>178.54673882063872</v>
      </c>
      <c r="AP16" s="204">
        <f t="shared" si="6"/>
        <v>47.92473646383152</v>
      </c>
      <c r="AQ16" s="135">
        <f t="shared" si="7"/>
        <v>299529602.89894706</v>
      </c>
      <c r="AR16" s="138">
        <f t="shared" si="8"/>
        <v>4.373978537994873</v>
      </c>
      <c r="AS16" s="138">
        <f t="shared" si="9"/>
        <v>0.5233049783771435</v>
      </c>
      <c r="AT16" s="140">
        <f t="shared" si="10"/>
        <v>1598.3734951313543</v>
      </c>
      <c r="AU16" s="106">
        <f>IF($D$40,IMDIV(COMPLEX($D$35,$B16,"j"),COMPLEX($D$34,$B16,"j")),1)</f>
        <v>1</v>
      </c>
      <c r="AV16" s="107">
        <f>IMABS(AU16)</f>
        <v>1</v>
      </c>
      <c r="AW16">
        <f t="shared" si="13"/>
        <v>3763.999999999809</v>
      </c>
      <c r="AX16" s="354">
        <f t="shared" si="14"/>
        <v>3809.9439115190103</v>
      </c>
    </row>
    <row r="17" spans="1:50" ht="15" customHeight="1">
      <c r="A17" s="60">
        <v>0.00030000000000000003</v>
      </c>
      <c r="B17" s="124">
        <f t="shared" si="11"/>
        <v>0.001884955592153876</v>
      </c>
      <c r="C17" s="190" t="s">
        <v>253</v>
      </c>
      <c r="D17" s="93">
        <v>107000</v>
      </c>
      <c r="E17" s="97" t="s">
        <v>47</v>
      </c>
      <c r="F17" s="181">
        <v>107000</v>
      </c>
      <c r="G17" s="11" t="b">
        <f t="shared" si="0"/>
        <v>1</v>
      </c>
      <c r="H17" s="9" t="str">
        <f>IMDIV(COMPLEX(0,$D$14*$B17,"j"),COMPLEX(1,$B17*$D$20*$D$14,"j"))</f>
        <v>1.65092110047243E-014+4.54274297709024E-008j</v>
      </c>
      <c r="I17" s="10" t="str">
        <f>COMPLEX(1/$D$16,0,"j")</f>
        <v>1.72117039586919E-006</v>
      </c>
      <c r="J17" s="10" t="str">
        <f>IMPRODUCT(1/$D$17,IMDIV(COMPLEX(1/$D$15,0,"j"),COMPLEX(1/$D$15,$B17,"j")))</f>
        <v>9.13596384405451E-006-1.38455924546033E-006j</v>
      </c>
      <c r="K17" s="11" t="str">
        <f>IMSUM($H17,$I17,$J17)</f>
        <v>1.08571342564329E-005-1.33913181568943E-006j</v>
      </c>
      <c r="L17" s="116" t="str">
        <f>COMPLEX($D$18,0,"j")</f>
        <v>12.98</v>
      </c>
      <c r="M17" s="9" t="str">
        <f>IMPRODUCT($L17,$K17)</f>
        <v>1.40925602648499E-004-1.73819309676488E-005j</v>
      </c>
      <c r="N17" s="11">
        <f>IMABS($M17)</f>
        <v>0.00014199351043624048</v>
      </c>
      <c r="O17" s="18">
        <f t="shared" si="12"/>
        <v>7042.575374943147</v>
      </c>
      <c r="P17" s="18">
        <f t="shared" si="1"/>
        <v>3521.2876874715735</v>
      </c>
      <c r="Q17" s="115">
        <f t="shared" si="2"/>
        <v>6.6374709180821325</v>
      </c>
      <c r="R17" s="9" t="str">
        <f>IMDIV(COMPLEX(1/$D$29,0,"j"),COMPLEX(1-$B17*$B17*$D$30*$D$30,$B17*2*$D$21*$D$30,"j"))</f>
        <v>0.202642437317901-2.43171012323046E-005j</v>
      </c>
      <c r="S17" s="11">
        <f>IMABS($R17)</f>
        <v>0.20264243877692756</v>
      </c>
      <c r="T17" s="34" t="str">
        <f>IMPRODUCT(IMDIV($D$23,COMPLEX(1,$B17*$D$31,"j")),$AU17)</f>
        <v>376399.999999915-0.178793315791413j</v>
      </c>
      <c r="U17" s="11">
        <f>IMABS($T17)</f>
        <v>376399.99999995745</v>
      </c>
      <c r="V17" s="9" t="str">
        <f>IMPRODUCT($R17,$T17)</f>
        <v>76274.613402093-9.18918801712551j</v>
      </c>
      <c r="W17" s="189">
        <f>IMABS($V17)</f>
        <v>76274.61395562696</v>
      </c>
      <c r="X17" s="10">
        <f t="shared" si="3"/>
        <v>38137.30697781348</v>
      </c>
      <c r="Y17" s="21">
        <f t="shared" si="4"/>
        <v>71.88713005751856</v>
      </c>
      <c r="Z17" s="10" t="str">
        <f>IMPRODUCT($M17,$V17)</f>
        <v>10.7488861346395-1.32709505659844j</v>
      </c>
      <c r="AA17" s="18">
        <f>IMABS($Z17)</f>
        <v>10.830500192728556</v>
      </c>
      <c r="AB17" s="13">
        <f>180/PI()*IMARGUMENT($Z17)</f>
        <v>-7.038319193746362</v>
      </c>
      <c r="AC17" s="9" t="str">
        <f>IMDIV($V17,IMSUM(1,IMPRODUCT($V17,$M17)))</f>
        <v>6410.37142895961+723.30116650465j</v>
      </c>
      <c r="AD17" s="18">
        <f>IMABS($AC17)</f>
        <v>6451.048475611438</v>
      </c>
      <c r="AE17" s="16">
        <f>180/PI()*IMARGUMENT($AC17)</f>
        <v>6.437624661412068</v>
      </c>
      <c r="AF17" s="33">
        <f t="shared" si="5"/>
        <v>3225.524237805719</v>
      </c>
      <c r="AG17" s="9" t="str">
        <f>IMPRODUCT($AC17,COMPLEX(0,$B17,"j"),COMPLEX($D$19,0,"j"))</f>
        <v>-0.681695289307182+6.04163273640044j</v>
      </c>
      <c r="AH17" s="12">
        <f>IMABS(AG17)</f>
        <v>6.079969949679774</v>
      </c>
      <c r="AI17" s="35">
        <f>180/PI()*IMARGUMENT($AG17)</f>
        <v>96.43762466141207</v>
      </c>
      <c r="AJ17" s="55" t="str">
        <f>IMDIV(COMPLEX(0,$B17,"j"),COMPLEX(1/$D$26,$B17,"j"))</f>
        <v>2.24518686861684E-002+0.148147839264255j</v>
      </c>
      <c r="AK17" s="35">
        <f>IMABS(AJ17)</f>
        <v>0.1498394763944685</v>
      </c>
      <c r="AL17" s="13">
        <f>180/PI()*IMARGUMENT($AJ17)</f>
        <v>81.3823759012587</v>
      </c>
      <c r="AM17" s="36" t="str">
        <f>IMPRODUCT(AG17,AJ17)</f>
        <v>-0.910360168645418+3.46542607002387E-002j</v>
      </c>
      <c r="AN17" s="35">
        <f>IMABS(AM17)</f>
        <v>0.9110195137541204</v>
      </c>
      <c r="AO17" s="57">
        <f>180/PI()*IMARGUMENT($AM17)</f>
        <v>177.82000056267077</v>
      </c>
      <c r="AP17" s="204">
        <f t="shared" si="6"/>
        <v>71.8871046957473</v>
      </c>
      <c r="AQ17" s="135">
        <f t="shared" si="7"/>
        <v>199686401.93263134</v>
      </c>
      <c r="AR17" s="138">
        <f t="shared" si="8"/>
        <v>6.56096780699231</v>
      </c>
      <c r="AS17" s="138">
        <f t="shared" si="9"/>
        <v>1.1774362013485733</v>
      </c>
      <c r="AT17" s="140">
        <f t="shared" si="10"/>
        <v>1598.3734951313543</v>
      </c>
      <c r="AU17" s="106">
        <f>IF($D$40,IMDIV(COMPLEX($D$35,$B17,"j"),COMPLEX($D$34,$B17,"j")),1)</f>
        <v>1</v>
      </c>
      <c r="AV17" s="107">
        <f>IMABS(AU17)</f>
        <v>1</v>
      </c>
      <c r="AW17">
        <f t="shared" si="13"/>
        <v>3763.9999999995744</v>
      </c>
      <c r="AX17" s="354">
        <f t="shared" si="14"/>
        <v>2559.6076357538154</v>
      </c>
    </row>
    <row r="18" spans="1:50" ht="15" customHeight="1">
      <c r="A18" s="60">
        <v>0.0004</v>
      </c>
      <c r="B18" s="124">
        <f t="shared" si="11"/>
        <v>0.0025132741228718345</v>
      </c>
      <c r="C18" s="156" t="s">
        <v>21</v>
      </c>
      <c r="D18" s="92">
        <v>12.98</v>
      </c>
      <c r="E18" s="96" t="s">
        <v>41</v>
      </c>
      <c r="F18" s="180">
        <v>12.98</v>
      </c>
      <c r="G18" s="11" t="b">
        <f t="shared" si="0"/>
        <v>1</v>
      </c>
      <c r="H18" s="9" t="str">
        <f>IMDIV(COMPLEX(0,$D$14*$B18,"j"),COMPLEX(1,$B18*$D$20*$D$14,"j"))</f>
        <v>2.93497084528403E-014+6.0569906361197E-008j</v>
      </c>
      <c r="I18" s="10" t="str">
        <f>COMPLEX(1/$D$16,0,"j")</f>
        <v>1.72117039586919E-006</v>
      </c>
      <c r="J18" s="10" t="str">
        <f>IMPRODUCT(1/$D$17,IMDIV(COMPLEX(1/$D$15,0,"j"),COMPLEX(1/$D$15,$B18,"j")))</f>
        <v>8.9791646027209E-006-1.81439500409843E-006j</v>
      </c>
      <c r="K18" s="11" t="str">
        <f>IMSUM($H18,$I18,$J18)</f>
        <v>1.07003350279398E-005-1.75382509773723E-006j</v>
      </c>
      <c r="L18" s="116" t="str">
        <f>COMPLEX($D$18,0,"j")</f>
        <v>12.98</v>
      </c>
      <c r="M18" s="9" t="str">
        <f>IMPRODUCT($L18,$K18)</f>
        <v>1.38890348662659E-004-2.27646497686292E-005j</v>
      </c>
      <c r="N18" s="11">
        <f>IMABS($M18)</f>
        <v>0.00014074359037172292</v>
      </c>
      <c r="O18" s="18">
        <f t="shared" si="12"/>
        <v>7105.119297858356</v>
      </c>
      <c r="P18" s="18">
        <f t="shared" si="1"/>
        <v>3552.559648929178</v>
      </c>
      <c r="Q18" s="115">
        <f t="shared" si="2"/>
        <v>8.928556235612351</v>
      </c>
      <c r="R18" s="9" t="str">
        <f>IMDIV(COMPLEX(1/$D$29,0,"j"),COMPLEX(1-$B18*$B18*$D$30*$D$30,$B18*2*$D$21*$D$30,"j"))</f>
        <v>0.20264249178822-3.24228194367196E-005j</v>
      </c>
      <c r="S18" s="11">
        <f>IMABS($R18)</f>
        <v>0.2026424943820472</v>
      </c>
      <c r="T18" s="34" t="str">
        <f>IMPRODUCT(IMDIV($D$23,COMPLEX(1,$B18*$D$31,"j")),$AU18)</f>
        <v>376399.999999849-0.238391087721842j</v>
      </c>
      <c r="U18" s="11">
        <f>IMABS($T18)</f>
        <v>376399.9999999245</v>
      </c>
      <c r="V18" s="9" t="str">
        <f>IMPRODUCT($R18,$T18)</f>
        <v>76274.6339013261-12.2522574000124j</v>
      </c>
      <c r="W18" s="189">
        <f>IMABS($V18)</f>
        <v>76274.63488538728</v>
      </c>
      <c r="X18" s="10">
        <f t="shared" si="3"/>
        <v>38137.31744269364</v>
      </c>
      <c r="Y18" s="21">
        <f t="shared" si="4"/>
        <v>95.84953304447056</v>
      </c>
      <c r="Z18" s="10" t="str">
        <f>IMPRODUCT($M18,$V18)</f>
        <v>10.5935315783233-1.73806704729629j</v>
      </c>
      <c r="AA18" s="18">
        <f>IMABS($Z18)</f>
        <v>10.735165968061706</v>
      </c>
      <c r="AB18" s="13">
        <f>180/PI()*IMARGUMENT($Z18)</f>
        <v>-9.31743248050979</v>
      </c>
      <c r="AC18" s="9" t="str">
        <f>IMDIV($V18,IMSUM(1,IMPRODUCT($V18,$M18)))</f>
        <v>6434.60811189127+963.600089297317j</v>
      </c>
      <c r="AD18" s="18">
        <f>IMABS($AC18)</f>
        <v>6506.358942274144</v>
      </c>
      <c r="AE18" s="16">
        <f>180/PI()*IMARGUMENT($AC18)</f>
        <v>8.516908969829526</v>
      </c>
      <c r="AF18" s="33">
        <f t="shared" si="5"/>
        <v>3253.179471137072</v>
      </c>
      <c r="AG18" s="9" t="str">
        <f>IMPRODUCT($AC18,COMPLEX(0,$B18,"j"),COMPLEX($D$19,0,"j"))</f>
        <v>-1.21089558461397+8.08596702921875j</v>
      </c>
      <c r="AH18" s="12">
        <f>IMABS(AG18)</f>
        <v>8.176131781866674</v>
      </c>
      <c r="AI18" s="35">
        <f>180/PI()*IMARGUMENT($AG18)</f>
        <v>98.51690896982956</v>
      </c>
      <c r="AJ18" s="55" t="str">
        <f>IMDIV(COMPLEX(0,$B18,"j"),COMPLEX(1/$D$26,$B18,"j"))</f>
        <v>3.92293875088641E-002+0.194140265438532j</v>
      </c>
      <c r="AK18" s="35">
        <f>IMABS(AJ18)</f>
        <v>0.19806409949524997</v>
      </c>
      <c r="AL18" s="13">
        <f>180/PI()*IMARGUMENT($AJ18)</f>
        <v>78.57622437857172</v>
      </c>
      <c r="AM18" s="36" t="str">
        <f>IMPRODUCT(AG18,AJ18)</f>
        <v>-1.61731447750134+8.21239437578185E-002j</v>
      </c>
      <c r="AN18" s="35">
        <f>IMABS(AM18)</f>
        <v>1.619398178729916</v>
      </c>
      <c r="AO18" s="57">
        <f>180/PI()*IMARGUMENT($AM18)</f>
        <v>177.0931333484013</v>
      </c>
      <c r="AP18" s="204">
        <f t="shared" si="6"/>
        <v>95.84947292766304</v>
      </c>
      <c r="AQ18" s="135">
        <f t="shared" si="7"/>
        <v>149764801.44947353</v>
      </c>
      <c r="AR18" s="138">
        <f t="shared" si="8"/>
        <v>8.747957075989746</v>
      </c>
      <c r="AS18" s="138">
        <f t="shared" si="9"/>
        <v>2.093219913508574</v>
      </c>
      <c r="AT18" s="140">
        <f t="shared" si="10"/>
        <v>1598.3734951313543</v>
      </c>
      <c r="AU18" s="106">
        <f>IF($D$40,IMDIV(COMPLEX($D$35,$B18,"j"),COMPLEX($D$34,$B18,"j")),1)</f>
        <v>1</v>
      </c>
      <c r="AV18" s="107">
        <f>IMABS(AU18)</f>
        <v>1</v>
      </c>
      <c r="AW18">
        <f t="shared" si="13"/>
        <v>3763.999999999245</v>
      </c>
      <c r="AX18" s="354">
        <f t="shared" si="14"/>
        <v>1934.145201179372</v>
      </c>
    </row>
    <row r="19" spans="1:50" ht="15" customHeight="1">
      <c r="A19" s="60">
        <v>0.0005</v>
      </c>
      <c r="B19" s="124">
        <f t="shared" si="11"/>
        <v>0.0031415926535897933</v>
      </c>
      <c r="C19" s="156" t="s">
        <v>20</v>
      </c>
      <c r="D19" s="92">
        <v>0.5</v>
      </c>
      <c r="E19" s="96" t="s">
        <v>46</v>
      </c>
      <c r="F19" s="180">
        <v>0.5</v>
      </c>
      <c r="G19" s="11" t="b">
        <f t="shared" si="0"/>
        <v>1</v>
      </c>
      <c r="H19" s="9" t="str">
        <f>IMDIV(COMPLEX(0,$D$14*$B19,"j"),COMPLEX(1,$B19*$D$20*$D$14,"j"))</f>
        <v>4.58589194575568E-014+7.57123829514862E-008j</v>
      </c>
      <c r="I19" s="10" t="str">
        <f>COMPLEX(1/$D$16,0,"j")</f>
        <v>1.72117039586919E-006</v>
      </c>
      <c r="J19" s="10" t="str">
        <f>IMPRODUCT(1/$D$17,IMDIV(COMPLEX(1/$D$15,0,"j"),COMPLEX(1/$D$15,$B19,"j")))</f>
        <v>8.78530343671364E-006-2.21902751680148E-006j</v>
      </c>
      <c r="K19" s="11" t="str">
        <f>IMSUM($H19,$I19,$J19)</f>
        <v>1.05064738784418E-005-2.14331513384999E-006j</v>
      </c>
      <c r="L19" s="116" t="str">
        <f>COMPLEX($D$18,0,"j")</f>
        <v>12.98</v>
      </c>
      <c r="M19" s="9" t="str">
        <f>IMPRODUCT($L19,$K19)</f>
        <v>1.36374030942175E-004-2.78202304373729E-005j</v>
      </c>
      <c r="N19" s="11">
        <f>IMABS($M19)</f>
        <v>0.0001391827630743327</v>
      </c>
      <c r="O19" s="18">
        <f t="shared" si="12"/>
        <v>7184.79772862344</v>
      </c>
      <c r="P19" s="18">
        <f t="shared" si="1"/>
        <v>3592.39886431172</v>
      </c>
      <c r="Q19" s="115">
        <f t="shared" si="2"/>
        <v>11.285853880886016</v>
      </c>
      <c r="R19" s="9" t="str">
        <f>IMDIV(COMPLEX(1/$D$29,0,"j"),COMPLEX(1-$B19*$B19*$D$30*$D$30,$B19*2*$D$21*$D$30,"j"))</f>
        <v>0.202642561821527-4.05285528928584E-005j</v>
      </c>
      <c r="S19" s="11">
        <f>IMABS($R19)</f>
        <v>0.2026425658743863</v>
      </c>
      <c r="T19" s="34" t="str">
        <f>IMPRODUCT(IMDIV($D$23,COMPLEX(1,$B19*$D$31,"j")),$AU19)</f>
        <v>376399.999999764-0.297988859652235j</v>
      </c>
      <c r="U19" s="21">
        <f>IMABS($T19)</f>
        <v>376399.99999988195</v>
      </c>
      <c r="V19" s="9" t="str">
        <f>IMPRODUCT($R19,$T19)</f>
        <v>76274.6602574979-15.3153325347765j</v>
      </c>
      <c r="W19" s="189">
        <f>IMABS($V19)</f>
        <v>76274.6617950951</v>
      </c>
      <c r="X19" s="10">
        <f t="shared" si="3"/>
        <v>38137.33089754755</v>
      </c>
      <c r="Y19" s="21">
        <f t="shared" si="4"/>
        <v>119.81195857525843</v>
      </c>
      <c r="Z19" s="10" t="str">
        <f>IMPRODUCT($M19,$V19)</f>
        <v>10.4014568019796-2.12406723852891j</v>
      </c>
      <c r="AA19" s="18">
        <f>IMABS($Z19)</f>
        <v>10.616118181201616</v>
      </c>
      <c r="AB19" s="13">
        <f>180/PI()*IMARGUMENT($Z19)</f>
        <v>-11.541605925211234</v>
      </c>
      <c r="AC19" s="9" t="str">
        <f>IMDIV($V19,IMSUM(1,IMPRODUCT($V19,$M19)))</f>
        <v>6465.74891780979+1203.21204163637j</v>
      </c>
      <c r="AD19" s="18">
        <f>IMABS($AC19)</f>
        <v>6576.749066620775</v>
      </c>
      <c r="AE19" s="16">
        <f>180/PI()*IMARGUMENT($AC19)</f>
        <v>10.541599119832016</v>
      </c>
      <c r="AF19" s="33">
        <f t="shared" si="5"/>
        <v>3288.3745333103875</v>
      </c>
      <c r="AG19" s="9" t="str">
        <f>IMPRODUCT($AC19,COMPLEX(0,$B19,"j"),COMPLEX($D$19,0,"j"))</f>
        <v>-1.8900010553578+10.1563746500737j</v>
      </c>
      <c r="AH19" s="12">
        <f>IMABS(AG19)</f>
        <v>10.33073327609968</v>
      </c>
      <c r="AI19" s="35">
        <f>180/PI()*IMARGUMENT($AG19)</f>
        <v>100.54159911983201</v>
      </c>
      <c r="AJ19" s="55" t="str">
        <f>IMDIV(COMPLEX(0,$B19,"j"),COMPLEX(1/$D$26,$B19,"j"))</f>
        <v>5.9972532271641E-002+0.237435944297758j</v>
      </c>
      <c r="AK19" s="35">
        <f>IMABS(AJ19)</f>
        <v>0.24489289959417168</v>
      </c>
      <c r="AL19" s="13">
        <f>180/PI()*IMARGUMENT($AJ19)</f>
        <v>75.82449548188937</v>
      </c>
      <c r="AM19" s="36" t="str">
        <f>IMPRODUCT(AG19,AJ19)</f>
        <v>-2.52483655496794+0.160349321161783j</v>
      </c>
      <c r="AN19" s="35">
        <f>IMABS(AM19)</f>
        <v>2.5299232269180463</v>
      </c>
      <c r="AO19" s="57">
        <f>180/PI()*IMARGUMENT($AM19)</f>
        <v>176.36609460172141</v>
      </c>
      <c r="AP19" s="204">
        <f t="shared" si="6"/>
        <v>119.8118411595788</v>
      </c>
      <c r="AQ19" s="135">
        <f t="shared" si="7"/>
        <v>119811841.1595788</v>
      </c>
      <c r="AR19" s="138">
        <f t="shared" si="8"/>
        <v>10.934946344987182</v>
      </c>
      <c r="AS19" s="138">
        <f t="shared" si="9"/>
        <v>3.270656114857147</v>
      </c>
      <c r="AT19" s="140">
        <f t="shared" si="10"/>
        <v>1598.3734951313543</v>
      </c>
      <c r="AU19" s="106">
        <f>IF($D$40,IMDIV(COMPLEX($D$35,$B19,"j"),COMPLEX($D$34,$B19,"j")),1)</f>
        <v>1</v>
      </c>
      <c r="AV19" s="107">
        <f>IMABS(AU19)</f>
        <v>1</v>
      </c>
      <c r="AW19">
        <f t="shared" si="13"/>
        <v>3763.9999999988195</v>
      </c>
      <c r="AX19" s="354">
        <f t="shared" si="14"/>
        <v>1558.5644395546224</v>
      </c>
    </row>
    <row r="20" spans="1:50" ht="15" customHeight="1">
      <c r="A20" s="60">
        <v>0.0006000000000000001</v>
      </c>
      <c r="B20" s="124">
        <f t="shared" si="11"/>
        <v>0.003769911184307752</v>
      </c>
      <c r="C20" s="156" t="s">
        <v>124</v>
      </c>
      <c r="D20" s="92">
        <v>8</v>
      </c>
      <c r="E20" s="96" t="s">
        <v>47</v>
      </c>
      <c r="F20" s="180">
        <v>8</v>
      </c>
      <c r="G20" s="11" t="b">
        <f aca="true" t="shared" si="15" ref="G20:G26">D20=F20</f>
        <v>1</v>
      </c>
      <c r="H20" s="9" t="str">
        <f>IMDIV(COMPLEX(0,$D$14*$B20,"j"),COMPLEX(1,$B20*$D$20*$D$14,"j"))</f>
        <v>6.60368440188712E-014+9.08548595417688E-008j</v>
      </c>
      <c r="I20" s="10" t="str">
        <f>COMPLEX(1/$D$16,0,"j")</f>
        <v>1.72117039586919E-006</v>
      </c>
      <c r="J20" s="10" t="str">
        <f>IMPRODUCT(1/$D$17,IMDIV(COMPLEX(1/$D$15,0,"j"),COMPLEX(1/$D$15,$B20,"j")))</f>
        <v>8.55943772834199E-006-2.59437292988637E-006j</v>
      </c>
      <c r="K20" s="11" t="str">
        <f>IMSUM($H20,$I20,$J20)</f>
        <v>1.0280608190248E-005-2.5035180703446E-006j</v>
      </c>
      <c r="L20" s="116" t="str">
        <f>COMPLEX($D$18,0,"j")</f>
        <v>12.98</v>
      </c>
      <c r="M20" s="9" t="str">
        <f>IMPRODUCT($L20,$K20)</f>
        <v>1.33442294309419E-004-3.24956645530729E-005j</v>
      </c>
      <c r="N20" s="11">
        <f>IMABS($M20)</f>
        <v>0.00013734196054122514</v>
      </c>
      <c r="O20" s="18">
        <f t="shared" si="12"/>
        <v>7281.096003430326</v>
      </c>
      <c r="P20" s="18">
        <f t="shared" si="1"/>
        <v>3640.548001715163</v>
      </c>
      <c r="Q20" s="115">
        <f t="shared" si="2"/>
        <v>13.72454262867523</v>
      </c>
      <c r="R20" s="9" t="str">
        <f>IMDIV(COMPLEX(1/$D$29,0,"j"),COMPLEX(1-$B20*$B20*$D$30*$D$30,$B20*2*$D$21*$D$30,"j"))</f>
        <v>0.202642647417855-4.8634305413685E-005j</v>
      </c>
      <c r="S20" s="11">
        <f>IMABS($R20)</f>
        <v>0.20264265325397998</v>
      </c>
      <c r="T20" s="34" t="str">
        <f>IMPRODUCT(IMDIV($D$23,COMPLEX(1,$B20*$D$31,"j")),$AU20)</f>
        <v>376399.99999966-0.357586631582583j</v>
      </c>
      <c r="U20" s="21">
        <f>IMABS($T20)</f>
        <v>376399.99999982986</v>
      </c>
      <c r="V20" s="9" t="str">
        <f>IMPRODUCT($R20,$T20)</f>
        <v>76274.6924706208-18.3784148593996j</v>
      </c>
      <c r="W20" s="189">
        <f>IMABS($V20)</f>
        <v>76274.69468476364</v>
      </c>
      <c r="X20" s="10">
        <f t="shared" si="3"/>
        <v>38137.34734238182</v>
      </c>
      <c r="Y20" s="21">
        <f t="shared" si="4"/>
        <v>143.77441228587475</v>
      </c>
      <c r="Z20" s="10" t="str">
        <f>IMPRODUCT($M20,$V20)</f>
        <v>10.1776727422207-2.4810492782587j</v>
      </c>
      <c r="AA20" s="18">
        <f>IMABS($Z20)</f>
        <v>10.475716107688784</v>
      </c>
      <c r="AB20" s="13">
        <f>180/PI()*IMARGUMENT($Z20)</f>
        <v>-13.70000054383735</v>
      </c>
      <c r="AC20" s="9" t="str">
        <f>IMDIV($V20,IMSUM(1,IMPRODUCT($V20,$M20)))</f>
        <v>6503.7783102207+1441.9652855632j</v>
      </c>
      <c r="AD20" s="18">
        <f>IMABS($AC20)</f>
        <v>6661.711206084108</v>
      </c>
      <c r="AE20" s="16">
        <f>180/PI()*IMARGUMENT($AC20)</f>
        <v>12.500943366604401</v>
      </c>
      <c r="AF20" s="33">
        <f t="shared" si="5"/>
        <v>3330.855603042054</v>
      </c>
      <c r="AG20" s="9" t="str">
        <f>IMPRODUCT($AC20,COMPLEX(0,$B20,"j"),COMPLEX($D$19,0,"j"))</f>
        <v>-2.71804052871411+12.2593332959796j</v>
      </c>
      <c r="AH20" s="12">
        <f>IMABS(AG20)</f>
        <v>12.557029791222387</v>
      </c>
      <c r="AI20" s="35">
        <f>180/PI()*IMARGUMENT($AG20)</f>
        <v>102.50094336660439</v>
      </c>
      <c r="AJ20" s="55" t="str">
        <f>IMDIV(COMPLEX(0,$B20,"j"),COMPLEX(1/$D$26,$B20,"j"))</f>
        <v>8.41401630674066E-002+0.277597903497841j</v>
      </c>
      <c r="AK20" s="35">
        <f>IMABS(AJ20)</f>
        <v>0.29006923840250004</v>
      </c>
      <c r="AL20" s="13">
        <f>180/PI()*IMARGUMENT($AJ20)</f>
        <v>73.13789873060537</v>
      </c>
      <c r="AM20" s="36" t="str">
        <f>IMPRODUCT(AG20,AJ20)</f>
        <v>-3.63186159455504+0.27697995022821j</v>
      </c>
      <c r="AN20" s="35">
        <f>IMABS(AM20)</f>
        <v>3.6424080681373825</v>
      </c>
      <c r="AO20" s="57">
        <f>180/PI()*IMARGUMENT($AM20)</f>
        <v>175.63884209720976</v>
      </c>
      <c r="AP20" s="204">
        <f t="shared" si="6"/>
        <v>143.7742093914946</v>
      </c>
      <c r="AQ20" s="136">
        <f t="shared" si="7"/>
        <v>99843200.96631567</v>
      </c>
      <c r="AR20" s="138">
        <f t="shared" si="8"/>
        <v>13.12193561398462</v>
      </c>
      <c r="AS20" s="138">
        <f t="shared" si="9"/>
        <v>4.709744805394293</v>
      </c>
      <c r="AT20" s="140">
        <f t="shared" si="10"/>
        <v>1598.3734951313543</v>
      </c>
      <c r="AU20" s="106">
        <f>IF($D$40,IMDIV(COMPLEX($D$35,$B20,"j"),COMPLEX($D$34,$B20,"j")),1)</f>
        <v>1</v>
      </c>
      <c r="AV20" s="107">
        <f>IMABS(AU20)</f>
        <v>1</v>
      </c>
      <c r="AW20">
        <f t="shared" si="13"/>
        <v>3763.999999998299</v>
      </c>
      <c r="AX20" s="354">
        <f t="shared" si="14"/>
        <v>1307.8747378083535</v>
      </c>
    </row>
    <row r="21" spans="1:50" ht="15" customHeight="1">
      <c r="A21" s="60">
        <v>0.0006999999999999999</v>
      </c>
      <c r="B21" s="124">
        <f t="shared" si="11"/>
        <v>0.00439822971502571</v>
      </c>
      <c r="C21" s="166" t="s">
        <v>22</v>
      </c>
      <c r="D21" s="92">
        <v>0.1</v>
      </c>
      <c r="E21" s="96"/>
      <c r="F21" s="180">
        <v>0.1</v>
      </c>
      <c r="G21" s="11" t="b">
        <f t="shared" si="15"/>
        <v>1</v>
      </c>
      <c r="H21" s="9" t="str">
        <f>IMDIV(COMPLEX(0,$D$14*$B21,"j"),COMPLEX(1,$B21*$D$20*$D$14,"j"))</f>
        <v>8.98834821367801E-014+1.05997336132044E-007j</v>
      </c>
      <c r="I21" s="10" t="str">
        <f>COMPLEX(1/$D$16,0,"j")</f>
        <v>1.72117039586919E-006</v>
      </c>
      <c r="J21" s="10" t="str">
        <f>IMPRODUCT(1/$D$17,IMDIV(COMPLEX(1/$D$15,0,"j"),COMPLEX(1/$D$15,$B21,"j")))</f>
        <v>8.30703714555203E-006-2.9375151124381E-006j</v>
      </c>
      <c r="K21" s="11" t="str">
        <f>IMSUM($H21,$I21,$J21)</f>
        <v>1.00282076313047E-005-2.83151777630606E-006j</v>
      </c>
      <c r="L21" s="116" t="str">
        <f>COMPLEX($D$18,0,"j")</f>
        <v>12.98</v>
      </c>
      <c r="M21" s="9" t="str">
        <f>IMPRODUCT($L21,$K21)</f>
        <v>1.30166135054335E-004-3.67531007364527E-005j</v>
      </c>
      <c r="N21" s="11">
        <f>IMABS($M21)</f>
        <v>0.0001352553626616232</v>
      </c>
      <c r="O21" s="18">
        <f t="shared" si="12"/>
        <v>7393.422192817319</v>
      </c>
      <c r="P21" s="18">
        <f t="shared" si="1"/>
        <v>3696.7110964086596</v>
      </c>
      <c r="Q21" s="115">
        <f t="shared" si="2"/>
        <v>16.25898459208984</v>
      </c>
      <c r="R21" s="9" t="str">
        <f>IMDIV(COMPLEX(1/$D$29,0,"j"),COMPLEX(1-$B21*$B21*$D$30*$D$30,$B21*2*$D$21*$D$30,"j"))</f>
        <v>0.202642748577241-5.67400808121857E-005j</v>
      </c>
      <c r="S21" s="11">
        <f>IMABS($R21)</f>
        <v>0.20264275652086772</v>
      </c>
      <c r="T21" s="34" t="str">
        <f>IMPRODUCT(IMDIV($D$23,COMPLEX(1,$B21*$D$31,"j")),$AU21)</f>
        <v>376399.999999538-0.417184403512879j</v>
      </c>
      <c r="U21" s="21">
        <f>IMABS($T21)</f>
        <v>376399.9999997692</v>
      </c>
      <c r="V21" s="9" t="str">
        <f>IMPRODUCT($R21,$T21)</f>
        <v>76274.7305407088-21.4415058118719j</v>
      </c>
      <c r="W21" s="189">
        <f>IMABS($V21)</f>
        <v>76274.73355440782</v>
      </c>
      <c r="X21" s="10">
        <f t="shared" si="3"/>
        <v>38137.36677720391</v>
      </c>
      <c r="Y21" s="21">
        <f t="shared" si="4"/>
        <v>167.73689981233252</v>
      </c>
      <c r="Z21" s="10" t="str">
        <f>IMPRODUCT($M21,$V21)</f>
        <v>9.92759883497187-2.80612381314973j</v>
      </c>
      <c r="AA21" s="18">
        <f>IMABS($Z21)</f>
        <v>10.316566748820112</v>
      </c>
      <c r="AB21" s="13">
        <f>180/PI()*IMARGUMENT($Z21)</f>
        <v>-15.783415136711024</v>
      </c>
      <c r="AC21" s="9" t="str">
        <f>IMDIV($V21,IMSUM(1,IMPRODUCT($V21,$M21)))</f>
        <v>6548.67724063858+1679.68809259669j</v>
      </c>
      <c r="AD21" s="18">
        <f>IMABS($AC21)</f>
        <v>6760.660151972501</v>
      </c>
      <c r="AE21" s="16">
        <f>180/PI()*IMARGUMENT($AC21)</f>
        <v>14.38582829281207</v>
      </c>
      <c r="AF21" s="33">
        <f t="shared" si="5"/>
        <v>3380.3300759862504</v>
      </c>
      <c r="AG21" s="9" t="str">
        <f>IMPRODUCT($AC21,COMPLEX(0,$B21,"j"),COMPLEX($D$19,0,"j"))</f>
        <v>-3.69382704041681+14.4012934169446j</v>
      </c>
      <c r="AH21" s="12">
        <f>IMABS(AG21)</f>
        <v>14.867468186797854</v>
      </c>
      <c r="AI21" s="35">
        <f>180/PI()*IMARGUMENT($AG21)</f>
        <v>104.38582829281206</v>
      </c>
      <c r="AJ21" s="55" t="str">
        <f>IMDIV(COMPLEX(0,$B21,"j"),COMPLEX(1/$D$26,$B21,"j"))</f>
        <v>0.111147025425933+0.314314117030877j</v>
      </c>
      <c r="AK21" s="35">
        <f>IMABS(AJ21)</f>
        <v>0.33338720045306613</v>
      </c>
      <c r="AL21" s="13">
        <f>180/PI()*IMARGUMENT($AJ21)</f>
        <v>70.52550575478445</v>
      </c>
      <c r="AM21" s="36" t="str">
        <f>IMPRODUCT(AG21,AJ21)</f>
        <v>-4.93708771242973+0.439638940906076j</v>
      </c>
      <c r="AN21" s="35">
        <f>IMABS(AM21)</f>
        <v>4.956623596621559</v>
      </c>
      <c r="AO21" s="57">
        <f>180/PI()*IMARGUMENT($AM21)</f>
        <v>174.9113340475965</v>
      </c>
      <c r="AP21" s="204">
        <f t="shared" si="6"/>
        <v>167.7365776234103</v>
      </c>
      <c r="AQ21" s="136">
        <f t="shared" si="7"/>
        <v>85579886.54255632</v>
      </c>
      <c r="AR21" s="138">
        <f t="shared" si="8"/>
        <v>15.308924882982051</v>
      </c>
      <c r="AS21" s="138">
        <f t="shared" si="9"/>
        <v>6.410485985120006</v>
      </c>
      <c r="AT21" s="140">
        <f t="shared" si="10"/>
        <v>1598.3734951313543</v>
      </c>
      <c r="AU21" s="106">
        <f>IF($D$40,IMDIV(COMPLEX($D$35,$B21,"j"),COMPLEX($D$34,$B21,"j")),1)</f>
        <v>1</v>
      </c>
      <c r="AV21" s="107">
        <f>IMABS(AU21)</f>
        <v>1</v>
      </c>
      <c r="AW21">
        <f t="shared" si="13"/>
        <v>3763.999999997692</v>
      </c>
      <c r="AX21" s="354">
        <f t="shared" si="14"/>
        <v>1128.5151916381435</v>
      </c>
    </row>
    <row r="22" spans="1:50" ht="15" customHeight="1">
      <c r="A22" s="60">
        <v>0.0008</v>
      </c>
      <c r="B22" s="124">
        <f t="shared" si="11"/>
        <v>0.005026548245743669</v>
      </c>
      <c r="C22" s="151" t="s">
        <v>23</v>
      </c>
      <c r="D22" s="92">
        <v>2</v>
      </c>
      <c r="E22" s="96" t="s">
        <v>45</v>
      </c>
      <c r="F22" s="180">
        <v>2</v>
      </c>
      <c r="G22" s="11" t="b">
        <f t="shared" si="15"/>
        <v>1</v>
      </c>
      <c r="H22" s="9" t="str">
        <f>IMDIV(COMPLEX(0,$D$14*$B22,"j"),COMPLEX(1,$B22*$D$20*$D$14,"j"))</f>
        <v>1.17398833811278E-013+1.21139812722308E-007j</v>
      </c>
      <c r="I22" s="10" t="str">
        <f>COMPLEX(1/$D$16,0,"j")</f>
        <v>1.72117039586919E-006</v>
      </c>
      <c r="J22" s="10" t="str">
        <f>IMPRODUCT(1/$D$17,IMDIV(COMPLEX(1/$D$15,0,"j"),COMPLEX(1/$D$15,$B22,"j")))</f>
        <v>8.03369392624059E-006-3.24669270898762E-006j</v>
      </c>
      <c r="K22" s="11" t="str">
        <f>IMSUM($H22,$I22,$J22)</f>
        <v>9.75486443950861E-006-3.12555289626531E-006j</v>
      </c>
      <c r="L22" s="116" t="str">
        <f>COMPLEX($D$18,0,"j")</f>
        <v>12.98</v>
      </c>
      <c r="M22" s="9" t="str">
        <f>IMPRODUCT($L22,$K22)</f>
        <v>1.26618140424822E-004-4.05696765935237E-005j</v>
      </c>
      <c r="N22" s="11">
        <f>IMABS($M22)</f>
        <v>0.00013295883627477734</v>
      </c>
      <c r="O22" s="18">
        <f t="shared" si="12"/>
        <v>7521.1247933410405</v>
      </c>
      <c r="P22" s="18">
        <f t="shared" si="1"/>
        <v>3760.5623966705202</v>
      </c>
      <c r="Q22" s="115">
        <f t="shared" si="2"/>
        <v>18.902648317993812</v>
      </c>
      <c r="R22" s="9" t="str">
        <f>IMDIV(COMPLEX(1/$D$29,0,"j"),COMPLEX(1-$B22*$B22*$D$30*$D$30,$B22*2*$D$21*$D$30,"j"))</f>
        <v>0.202642865299729-6.48458829013734E-005j</v>
      </c>
      <c r="S22" s="11">
        <f>IMABS($R22)</f>
        <v>0.20264287567509656</v>
      </c>
      <c r="T22" s="34" t="str">
        <f>IMPRODUCT(IMDIV($D$23,COMPLEX(1,$B22*$D$31,"j")),$AU22)</f>
        <v>376399.999999396-0.476782175443108j</v>
      </c>
      <c r="U22" s="21">
        <f>IMABS($T22)</f>
        <v>376399.99999969796</v>
      </c>
      <c r="V22" s="9" t="str">
        <f>IMPRODUCT($R22,$T22)</f>
        <v>76274.7744677782-24.5046068301934j</v>
      </c>
      <c r="W22" s="189">
        <f>IMABS($V22)</f>
        <v>76274.77840404512</v>
      </c>
      <c r="X22" s="10">
        <f t="shared" si="3"/>
        <v>38137.38920202256</v>
      </c>
      <c r="Y22" s="21">
        <f t="shared" si="4"/>
        <v>191.69942679067006</v>
      </c>
      <c r="Z22" s="10" t="str">
        <f>IMPRODUCT($M22,$V22)</f>
        <v>9.65677596045862-3.0975456601504j</v>
      </c>
      <c r="AA22" s="18">
        <f>IMABS($Z22)</f>
        <v>10.141405773718361</v>
      </c>
      <c r="AB22" s="13">
        <f>180/PI()*IMARGUMENT($Z22)</f>
        <v>-17.7843684212878</v>
      </c>
      <c r="AC22" s="9" t="str">
        <f>IMDIV($V22,IMSUM(1,IMPRODUCT($V22,$M22)))</f>
        <v>6600.42311343702+1916.20875198302j</v>
      </c>
      <c r="AD22" s="18">
        <f>IMABS($AC22)</f>
        <v>6872.949967631801</v>
      </c>
      <c r="AE22" s="16">
        <f>180/PI()*IMARGUMENT($AC22)</f>
        <v>16.18886104762775</v>
      </c>
      <c r="AF22" s="33">
        <f t="shared" si="5"/>
        <v>3436.4749838159005</v>
      </c>
      <c r="AG22" s="9" t="str">
        <f>IMPRODUCT($AC22,COMPLEX(0,$B22,"j"),COMPLEX($D$19,0,"j"))</f>
        <v>-4.81595787037946+16.5886726110064j</v>
      </c>
      <c r="AH22" s="12">
        <f>IMABS(AG22)</f>
        <v>17.273607301441807</v>
      </c>
      <c r="AI22" s="35">
        <f>180/PI()*IMARGUMENT($AG22)</f>
        <v>106.18886104762777</v>
      </c>
      <c r="AJ22" s="55" t="str">
        <f>IMDIV(COMPLEX(0,$B22,"j"),COMPLEX(1/$D$26,$B22,"j"))</f>
        <v>0.140394749892257+0.347396119861675j</v>
      </c>
      <c r="AK22" s="35">
        <f>IMABS(AJ22)</f>
        <v>0.37469287408790775</v>
      </c>
      <c r="AL22" s="13">
        <f>180/PI()*IMARGUMENT($AJ22)</f>
        <v>67.99466814345739</v>
      </c>
      <c r="AM22" s="36" t="str">
        <f>IMPRODUCT(AG22,AJ22)</f>
        <v>-6.43897569942284+0.655917464679657j</v>
      </c>
      <c r="AN22" s="35">
        <f>IMABS(AM22)</f>
        <v>6.472297565643102</v>
      </c>
      <c r="AO22" s="57">
        <f>180/PI()*IMARGUMENT($AM22)</f>
        <v>174.18352919108517</v>
      </c>
      <c r="AP22" s="204">
        <f t="shared" si="6"/>
        <v>191.6989458553261</v>
      </c>
      <c r="AQ22" s="136">
        <f t="shared" si="7"/>
        <v>74882400.72473677</v>
      </c>
      <c r="AR22" s="138">
        <f t="shared" si="8"/>
        <v>17.49591415197949</v>
      </c>
      <c r="AS22" s="138">
        <f t="shared" si="9"/>
        <v>8.372879654034296</v>
      </c>
      <c r="AT22" s="140">
        <f t="shared" si="10"/>
        <v>1598.3734951313543</v>
      </c>
      <c r="AU22" s="106">
        <f>IF($D$40,IMDIV(COMPLEX($D$35,$B22,"j"),COMPLEX($D$34,$B22,"j")),1)</f>
        <v>1</v>
      </c>
      <c r="AV22" s="107">
        <f>IMABS(AU22)</f>
        <v>1</v>
      </c>
      <c r="AW22">
        <f t="shared" si="13"/>
        <v>3763.9999999969796</v>
      </c>
      <c r="AX22" s="354">
        <f t="shared" si="14"/>
        <v>993.7113230820408</v>
      </c>
    </row>
    <row r="23" spans="1:50" ht="15" customHeight="1">
      <c r="A23" s="60">
        <v>0.0009</v>
      </c>
      <c r="B23" s="124">
        <f t="shared" si="11"/>
        <v>0.005654866776461627</v>
      </c>
      <c r="C23" s="151" t="s">
        <v>43</v>
      </c>
      <c r="D23" s="92">
        <v>376400</v>
      </c>
      <c r="E23" s="96" t="s">
        <v>28</v>
      </c>
      <c r="F23" s="180">
        <v>376400</v>
      </c>
      <c r="G23" s="11" t="b">
        <f t="shared" si="15"/>
        <v>1</v>
      </c>
      <c r="H23" s="9" t="str">
        <f>IMDIV(COMPLEX(0,$D$14*$B23,"j"),COMPLEX(1,$B23*$D$20*$D$14,"j"))</f>
        <v>1.48582899042362E-013+1.36282289312563E-007j</v>
      </c>
      <c r="I23" s="10" t="str">
        <f>COMPLEX(1/$D$16,0,"j")</f>
        <v>1.72117039586919E-006</v>
      </c>
      <c r="J23" s="10" t="str">
        <f>IMPRODUCT(1/$D$17,IMDIV(COMPLEX(1/$D$15,0,"j"),COMPLEX(1/$D$15,$B23,"j")))</f>
        <v>7.74486950000883E-006-3.52121489997994E-006j</v>
      </c>
      <c r="K23" s="11" t="str">
        <f>IMSUM($H23,$I23,$J23)</f>
        <v>9.46604004446092E-006-3.38493261066738E-006j</v>
      </c>
      <c r="L23" s="116" t="str">
        <f>COMPLEX($D$18,0,"j")</f>
        <v>12.98</v>
      </c>
      <c r="M23" s="9" t="str">
        <f>IMPRODUCT($L23,$K23)</f>
        <v>1.22869199777103E-004-4.39364252864626E-005j</v>
      </c>
      <c r="N23" s="11">
        <f>IMABS($M23)</f>
        <v>0.00013048850417112824</v>
      </c>
      <c r="O23" s="18">
        <f t="shared" si="12"/>
        <v>7663.510332592647</v>
      </c>
      <c r="P23" s="18">
        <f t="shared" si="1"/>
        <v>3831.7551662963233</v>
      </c>
      <c r="Q23" s="115">
        <f t="shared" si="2"/>
        <v>21.668064985424277</v>
      </c>
      <c r="R23" s="9" t="str">
        <f>IMDIV(COMPLEX(1/$D$29,0,"j"),COMPLEX(1-$B23*$B23*$D$30*$D$30,$B23*2*$D$21*$D$30,"j"))</f>
        <v>0.202642997585371-7.29517154942916E-005j</v>
      </c>
      <c r="S23" s="11">
        <f>IMABS($R23)</f>
        <v>0.20264301071672192</v>
      </c>
      <c r="T23" s="34" t="str">
        <f>IMPRODUCT(IMDIV($D$23,COMPLEX(1,$B23*$D$31,"j")),$AU23)</f>
        <v>376399.999999236-0.53637994737327j</v>
      </c>
      <c r="U23" s="21">
        <f>IMABS($T23)</f>
        <v>376399.99999961816</v>
      </c>
      <c r="V23" s="9" t="str">
        <f>IMPRODUCT($R23,$T23)</f>
        <v>76274.824251849-27.567719352376j</v>
      </c>
      <c r="W23" s="189">
        <f>IMABS($V23)</f>
        <v>76274.82923369676</v>
      </c>
      <c r="X23" s="10">
        <f t="shared" si="3"/>
        <v>38137.41461684838</v>
      </c>
      <c r="Y23" s="21">
        <f t="shared" si="4"/>
        <v>215.66199885695795</v>
      </c>
      <c r="Z23" s="10" t="str">
        <f>IMPRODUCT($M23,$V23)</f>
        <v>9.37061539192221-3.35463034059594j</v>
      </c>
      <c r="AA23" s="18">
        <f>IMABS($Z23)</f>
        <v>9.952988372613335</v>
      </c>
      <c r="AB23" s="13">
        <f>180/PI()*IMARGUMENT($Z23)</f>
        <v>-19.697096564961175</v>
      </c>
      <c r="AC23" s="9" t="str">
        <f>IMDIV($V23,IMSUM(1,IMPRODUCT($V23,$M23)))</f>
        <v>6658.98974477079+2151.35558238435j</v>
      </c>
      <c r="AD23" s="18">
        <f>IMABS($AC23)</f>
        <v>6997.890772426993</v>
      </c>
      <c r="AE23" s="16">
        <f>180/PI()*IMARGUMENT($AC23)</f>
        <v>17.904366984436088</v>
      </c>
      <c r="AF23" s="33">
        <f t="shared" si="5"/>
        <v>3498.9453862134965</v>
      </c>
      <c r="AG23" s="9" t="str">
        <f>IMPRODUCT($AC23,COMPLEX(0,$B23,"j"),COMPLEX($D$19,0,"j"))</f>
        <v>-6.08281460359026+18.8278499362515j</v>
      </c>
      <c r="AH23" s="12">
        <f>IMABS(AG23)</f>
        <v>19.786070017152387</v>
      </c>
      <c r="AI23" s="35">
        <f>180/PI()*IMARGUMENT($AG23)</f>
        <v>107.90436698443612</v>
      </c>
      <c r="AJ23" s="55" t="str">
        <f>IMDIV(COMPLEX(0,$B23,"j"),COMPLEX(1/$D$26,$B23,"j"))</f>
        <v>0.171298963499055+0.376769994297853j</v>
      </c>
      <c r="AK23" s="35">
        <f>IMABS(AJ23)</f>
        <v>0.4138827895661461</v>
      </c>
      <c r="AL23" s="13">
        <f>180/PI()*IMARGUMENT($AJ23)</f>
        <v>65.55101989405772</v>
      </c>
      <c r="AM23" s="36" t="str">
        <f>IMPRODUCT(AG23,AJ23)</f>
        <v>-8.13574874987424+0.933369155486031j</v>
      </c>
      <c r="AN23" s="35">
        <f>IMABS(AM23)</f>
        <v>8.189113853250117</v>
      </c>
      <c r="AO23" s="57">
        <f>180/PI()*IMARGUMENT($AM23)</f>
        <v>173.45538687849384</v>
      </c>
      <c r="AP23" s="204">
        <f t="shared" si="6"/>
        <v>215.66131408724186</v>
      </c>
      <c r="AQ23" s="136">
        <f t="shared" si="7"/>
        <v>66562133.977543786</v>
      </c>
      <c r="AR23" s="138">
        <f t="shared" si="8"/>
        <v>19.682903420976928</v>
      </c>
      <c r="AS23" s="138">
        <f t="shared" si="9"/>
        <v>10.596925812137155</v>
      </c>
      <c r="AT23" s="140">
        <f t="shared" si="10"/>
        <v>1598.3734951313543</v>
      </c>
      <c r="AU23" s="106">
        <f>IF($D$40,IMDIV(COMPLEX($D$35,$B23,"j"),COMPLEX($D$34,$B23,"j")),1)</f>
        <v>1</v>
      </c>
      <c r="AV23" s="107">
        <f>IMABS(AU23)</f>
        <v>1</v>
      </c>
      <c r="AW23">
        <f t="shared" si="13"/>
        <v>3763.9999999961815</v>
      </c>
      <c r="AX23" s="354">
        <f t="shared" si="14"/>
        <v>888.5937252606054</v>
      </c>
    </row>
    <row r="24" spans="1:50" ht="15" customHeight="1">
      <c r="A24" s="60">
        <v>0.001</v>
      </c>
      <c r="B24" s="124">
        <f t="shared" si="11"/>
        <v>0.006283185307179587</v>
      </c>
      <c r="C24" s="151" t="s">
        <v>60</v>
      </c>
      <c r="D24" s="94">
        <v>2520</v>
      </c>
      <c r="E24" s="25" t="s">
        <v>47</v>
      </c>
      <c r="F24" s="182">
        <v>2520</v>
      </c>
      <c r="G24" s="11" t="b">
        <f t="shared" si="15"/>
        <v>1</v>
      </c>
      <c r="H24" s="9" t="str">
        <f>IMDIV(COMPLEX(0,$D$14*$B24,"j"),COMPLEX(1,$B24*$D$20*$D$14,"j"))</f>
        <v>1.83435677830025E-013+1.51424765902806E-007j</v>
      </c>
      <c r="I24" s="10" t="str">
        <f>COMPLEX(1/$D$16,0,"j")</f>
        <v>1.72117039586919E-006</v>
      </c>
      <c r="J24" s="10" t="str">
        <f>IMPRODUCT(1/$D$17,IMDIV(COMPLEX(1/$D$15,0,"j"),COMPLEX(1/$D$15,$B24,"j")))</f>
        <v>7.44569236057563E-006-3.76132625327656E-006j</v>
      </c>
      <c r="K24" s="11" t="str">
        <f>IMSUM($H24,$I24,$J24)</f>
        <v>9.1668629398805E-006-3.60990148737375E-006j</v>
      </c>
      <c r="L24" s="116" t="str">
        <f>COMPLEX($D$18,0,"j")</f>
        <v>12.98</v>
      </c>
      <c r="M24" s="9" t="str">
        <f>IMPRODUCT($L24,$K24)</f>
        <v>1.18985880959649E-004-4.68565213061113E-005j</v>
      </c>
      <c r="N24" s="11">
        <f>IMABS($M24)</f>
        <v>0.0001278795271208563</v>
      </c>
      <c r="O24" s="18">
        <f t="shared" si="12"/>
        <v>7819.8600082006915</v>
      </c>
      <c r="P24" s="18">
        <f t="shared" si="1"/>
        <v>3909.9300041003457</v>
      </c>
      <c r="Q24" s="115">
        <f t="shared" si="2"/>
        <v>24.566814753863913</v>
      </c>
      <c r="R24" s="9" t="str">
        <f>IMDIV(COMPLEX(1/$D$29,0,"j"),COMPLEX(1-$B24*$B24*$D$30*$D$30,$B24*2*$D$21*$D$30,"j"))</f>
        <v>0.202643145434225-8.10575824040195E-005j</v>
      </c>
      <c r="S24" s="11">
        <f>IMABS($R24)</f>
        <v>0.20264316164580568</v>
      </c>
      <c r="T24" s="34" t="str">
        <f>IMPRODUCT(IMDIV($D$23,COMPLEX(1,$B24*$D$31,"j")),$AU24)</f>
        <v>376399.999999056-0.595977719303351j</v>
      </c>
      <c r="U24" s="21">
        <f>IMABS($T24)</f>
        <v>376399.99999952776</v>
      </c>
      <c r="V24" s="9" t="str">
        <f>IMPRODUCT($R24,$T24)</f>
        <v>76274.8798929425-30.6308448164448j</v>
      </c>
      <c r="W24" s="189">
        <f>IMABS($V24)</f>
        <v>76274.88604338559</v>
      </c>
      <c r="X24" s="10">
        <f t="shared" si="3"/>
        <v>38137.443021692794</v>
      </c>
      <c r="Y24" s="21">
        <f t="shared" si="4"/>
        <v>239.62462164729882</v>
      </c>
      <c r="Z24" s="10" t="str">
        <f>IMPRODUCT($M24,$V24)</f>
        <v>9.07419852432042-3.57762017287976j</v>
      </c>
      <c r="AA24" s="18">
        <f>IMABS($Z24)</f>
        <v>9.753996358425354</v>
      </c>
      <c r="AB24" s="13">
        <f>180/PI()*IMARGUMENT($Z24)</f>
        <v>-21.517479917115132</v>
      </c>
      <c r="AC24" s="9" t="str">
        <f>IMDIV($V24,IMSUM(1,IMPRODUCT($V24,$M24)))</f>
        <v>6724.34731580574+2384.95694755835j</v>
      </c>
      <c r="AD24" s="18">
        <f>IMABS($AC24)</f>
        <v>7134.764639796516</v>
      </c>
      <c r="AE24" s="16">
        <f>180/PI()*IMARGUMENT($AC24)</f>
        <v>19.528316496213538</v>
      </c>
      <c r="AF24" s="33">
        <f t="shared" si="5"/>
        <v>3567.382319898258</v>
      </c>
      <c r="AG24" s="9" t="str">
        <f>IMPRODUCT($AC24,COMPLEX(0,$B24,"j"),COMPLEX($D$19,0,"j"))</f>
        <v>-7.49256322557725+21.1251601275216j</v>
      </c>
      <c r="AH24" s="12">
        <f>IMABS(AG24)</f>
        <v>22.414524177477002</v>
      </c>
      <c r="AI24" s="35">
        <f>180/PI()*IMARGUMENT($AG24)</f>
        <v>109.5283164962135</v>
      </c>
      <c r="AJ24" s="55" t="str">
        <f>IMDIV(COMPLEX(0,$B24,"j"),COMPLEX(1/$D$26,$B24,"j"))</f>
        <v>0.203310917418408+0.402461909100592j</v>
      </c>
      <c r="AK24" s="35">
        <f>IMABS(AJ24)</f>
        <v>0.45090011911553973</v>
      </c>
      <c r="AL24" s="13">
        <f>180/PI()*IMARGUMENT($AJ24)</f>
        <v>63.19855066396695</v>
      </c>
      <c r="AM24" s="36" t="str">
        <f>IMPRODUCT(AG24,AJ24)</f>
        <v>-10.0253921781856+1.27950438631448j</v>
      </c>
      <c r="AN24" s="35">
        <f>IMABS(AM24)</f>
        <v>10.106711621542539</v>
      </c>
      <c r="AO24" s="57">
        <f>180/PI()*IMARGUMENT($AM24)</f>
        <v>172.72686716018046</v>
      </c>
      <c r="AP24" s="204">
        <f t="shared" si="6"/>
        <v>239.6236823191576</v>
      </c>
      <c r="AQ24" s="136">
        <f t="shared" si="7"/>
        <v>59905920.5797894</v>
      </c>
      <c r="AR24" s="134">
        <f t="shared" si="8"/>
        <v>21.869892689974364</v>
      </c>
      <c r="AS24" s="134">
        <f t="shared" si="9"/>
        <v>13.082624459428589</v>
      </c>
      <c r="AT24" s="140">
        <f t="shared" si="10"/>
        <v>1598.3734951313543</v>
      </c>
      <c r="AU24" s="106">
        <f>IF($D$40,IMDIV(COMPLEX($D$35,$B24,"j"),COMPLEX($D$34,$B24,"j")),1)</f>
        <v>1</v>
      </c>
      <c r="AV24" s="107">
        <f>IMABS(AU24)</f>
        <v>1</v>
      </c>
      <c r="AW24">
        <f t="shared" si="13"/>
        <v>3763.9999999952774</v>
      </c>
      <c r="AX24" s="354">
        <f t="shared" si="14"/>
        <v>804.2453236005931</v>
      </c>
    </row>
    <row r="25" spans="1:50" ht="15" customHeight="1">
      <c r="A25" s="60">
        <v>0.0015</v>
      </c>
      <c r="B25" s="124">
        <f t="shared" si="11"/>
        <v>0.00942477796076938</v>
      </c>
      <c r="C25" s="151" t="s">
        <v>61</v>
      </c>
      <c r="D25" s="291">
        <v>1E-07</v>
      </c>
      <c r="E25" s="25" t="s">
        <v>55</v>
      </c>
      <c r="F25" s="181">
        <v>1E-07</v>
      </c>
      <c r="G25" s="11" t="b">
        <f t="shared" si="15"/>
        <v>1</v>
      </c>
      <c r="H25" s="9" t="str">
        <f>IMDIV(COMPLEX(0,$D$14*$B25,"j"),COMPLEX(1,$B25*$D$20*$D$14,"j"))</f>
        <v>4.12730275116801E-013+2.27137148853792E-007j</v>
      </c>
      <c r="I25" s="10" t="str">
        <f>COMPLEX(1/$D$16,0,"j")</f>
        <v>1.72117039586919E-006</v>
      </c>
      <c r="J25" s="10" t="str">
        <f>IMPRODUCT(1/$D$17,IMDIV(COMPLEX(1/$D$15,0,"j"),COMPLEX(1/$D$15,$B25,"j")))</f>
        <v>5.93689731173977E-006-4.49869669069851E-006j</v>
      </c>
      <c r="K25" s="11" t="str">
        <f>IMSUM($H25,$I25,$J25)</f>
        <v>7.65806812033923E-006-4.27155954184472E-006j</v>
      </c>
      <c r="L25" s="116" t="str">
        <f>COMPLEX($D$18,0,"j")</f>
        <v>12.98</v>
      </c>
      <c r="M25" s="9" t="str">
        <f>IMPRODUCT($L25,$K25)</f>
        <v>9.94017242020032E-005-5.54448428531445E-005j</v>
      </c>
      <c r="N25" s="11">
        <f>IMABS($M25)</f>
        <v>0.00011381930140947534</v>
      </c>
      <c r="O25" s="18">
        <f t="shared" si="12"/>
        <v>8785.85606849236</v>
      </c>
      <c r="P25" s="18">
        <f t="shared" si="1"/>
        <v>4392.92803424618</v>
      </c>
      <c r="Q25" s="115">
        <f t="shared" si="2"/>
        <v>41.40237132040935</v>
      </c>
      <c r="R25" s="9" t="str">
        <f>IMDIV(COMPLEX(1/$D$29,0,"j"),COMPLEX(1-$B25*$B25*$D$30*$D$30,$B25*2*$D$21*$D$30,"j"))</f>
        <v>0.2026441181292-1.21587565165607E-004j</v>
      </c>
      <c r="S25" s="11">
        <f>IMABS($R25)</f>
        <v>0.20264415460579455</v>
      </c>
      <c r="T25" s="34" t="str">
        <f>IMPRODUCT(IMDIV($D$23,COMPLEX(1,$B25*$D$31,"j")),$AU25)</f>
        <v>376399.999997877-0.893966578952222j</v>
      </c>
      <c r="U25" s="21">
        <f>IMABS($T25)</f>
        <v>376399.9999989386</v>
      </c>
      <c r="V25" s="9" t="str">
        <f>IMPRODUCT($R25,$T25)</f>
        <v>76275.2459547054-45.9467165971051j</v>
      </c>
      <c r="W25" s="189">
        <f>IMABS($V25)</f>
        <v>76275.25979340593</v>
      </c>
      <c r="X25" s="10">
        <f t="shared" si="3"/>
        <v>38137.629896702965</v>
      </c>
      <c r="Y25" s="21">
        <f t="shared" si="4"/>
        <v>359.43869372642547</v>
      </c>
      <c r="Z25" s="10" t="str">
        <f>IMPRODUCT($M25,$V25)</f>
        <v>7.57934345334824-4.23363620839476j</v>
      </c>
      <c r="AA25" s="18">
        <f>IMABS($Z25)</f>
        <v>8.681596784511706</v>
      </c>
      <c r="AB25" s="13">
        <f>180/PI()*IMARGUMENT($Z25)</f>
        <v>-29.18665940095854</v>
      </c>
      <c r="AC25" s="9" t="str">
        <f>IMDIV($V25,IMSUM(1,IMPRODUCT($V25,$M25)))</f>
        <v>7151.69416409515+3523.78067299348j</v>
      </c>
      <c r="AD25" s="18">
        <f>IMABS($AC25)</f>
        <v>7972.688357644176</v>
      </c>
      <c r="AE25" s="16">
        <f>180/PI()*IMARGUMENT($AC25)</f>
        <v>26.230376438220578</v>
      </c>
      <c r="AF25" s="33">
        <f t="shared" si="5"/>
        <v>3986.344178822088</v>
      </c>
      <c r="AG25" s="9" t="str">
        <f>IMPRODUCT($AC25,COMPLEX(0,$B25,"j"),COMPLEX($D$19,0,"j"))</f>
        <v>-16.605425212707+33.7015647699635j</v>
      </c>
      <c r="AH25" s="12">
        <f>IMABS(AG25)</f>
        <v>37.57040876060374</v>
      </c>
      <c r="AI25" s="35">
        <f>180/PI()*IMARGUMENT($AG25)</f>
        <v>116.23037643822055</v>
      </c>
      <c r="AJ25" s="55" t="str">
        <f>IMDIV(COMPLEX(0,$B25,"j"),COMPLEX(1/$D$26,$B25,"j"))</f>
        <v>0.364751987643845+0.48136054590474j</v>
      </c>
      <c r="AK25" s="35">
        <f>IMABS(AJ25)</f>
        <v>0.6039470073142551</v>
      </c>
      <c r="AL25" s="13">
        <f>180/PI()*IMARGUMENT($AJ25)</f>
        <v>52.846892667604386</v>
      </c>
      <c r="AM25" s="36" t="str">
        <f>IMPRODUCT(AG25,AJ25)</f>
        <v>-22.2794654675197+4.29951619118299j</v>
      </c>
      <c r="AN25" s="35">
        <f>IMABS(AM25)</f>
        <v>22.69053593453992</v>
      </c>
      <c r="AO25" s="57">
        <f>180/PI()*IMARGUMENT($AM25)</f>
        <v>169.07726910582494</v>
      </c>
      <c r="AP25" s="204">
        <f t="shared" si="6"/>
        <v>359.43552347873646</v>
      </c>
      <c r="AQ25" s="136">
        <f t="shared" si="7"/>
        <v>39937280.38652627</v>
      </c>
      <c r="AR25" s="134">
        <f t="shared" si="8"/>
        <v>32.804839034961546</v>
      </c>
      <c r="AS25" s="134">
        <f t="shared" si="9"/>
        <v>29.43590503371432</v>
      </c>
      <c r="AT25" s="140">
        <f t="shared" si="10"/>
        <v>1598.3734951313543</v>
      </c>
      <c r="AU25" s="106">
        <f>IF($D$40,IMDIV(COMPLEX($D$35,$B25,"j"),COMPLEX($D$34,$B25,"j")),1)</f>
        <v>1</v>
      </c>
      <c r="AV25" s="107">
        <f>IMABS(AU25)</f>
        <v>1</v>
      </c>
      <c r="AW25">
        <f t="shared" si="13"/>
        <v>3763.9999999893857</v>
      </c>
      <c r="AX25" s="354">
        <f t="shared" si="14"/>
        <v>548.5747711818899</v>
      </c>
    </row>
    <row r="26" spans="1:50" ht="15" customHeight="1">
      <c r="A26" s="60">
        <v>0.002</v>
      </c>
      <c r="B26" s="124">
        <f t="shared" si="11"/>
        <v>0.012566370614359173</v>
      </c>
      <c r="C26" s="295" t="s">
        <v>272</v>
      </c>
      <c r="D26" s="294">
        <v>80.4</v>
      </c>
      <c r="E26" s="25" t="s">
        <v>45</v>
      </c>
      <c r="F26" s="292">
        <v>80.4</v>
      </c>
      <c r="G26" s="11" t="b">
        <f t="shared" si="15"/>
        <v>1</v>
      </c>
      <c r="H26" s="9" t="str">
        <f>IMDIV(COMPLEX(0,$D$14*$B26,"j"),COMPLEX(1,$B26*$D$20*$D$14,"j"))</f>
        <v>7.33742711316872E-013+3.02849531804278E-007j</v>
      </c>
      <c r="I26" s="10" t="str">
        <f>COMPLEX(1/$D$16,0,"j")</f>
        <v>1.72117039586919E-006</v>
      </c>
      <c r="J26" s="10" t="str">
        <f>IMPRODUCT(1/$D$17,IMDIV(COMPLEX(1/$D$15,0,"j"),COMPLEX(1/$D$15,$B26,"j")))</f>
        <v>4.62484681434399E-006-4.67265014393629E-006j</v>
      </c>
      <c r="K26" s="11" t="str">
        <f>IMSUM($H26,$I26,$J26)</f>
        <v>6.34601794395589E-006-4.36980061213201E-006j</v>
      </c>
      <c r="L26" s="116" t="str">
        <f>COMPLEX($D$18,0,"j")</f>
        <v>12.98</v>
      </c>
      <c r="M26" s="9" t="str">
        <f>IMPRODUCT($L26,$K26)</f>
        <v>8.23713129125475E-005-5.67200119454735E-005j</v>
      </c>
      <c r="N26" s="11">
        <f>IMABS($M26)</f>
        <v>0.00010001096412909672</v>
      </c>
      <c r="O26" s="18">
        <f t="shared" si="12"/>
        <v>9998.903707289275</v>
      </c>
      <c r="P26" s="18">
        <f t="shared" si="1"/>
        <v>4999.451853644638</v>
      </c>
      <c r="Q26" s="115">
        <f t="shared" si="2"/>
        <v>62.82496486154347</v>
      </c>
      <c r="R26" s="9" t="str">
        <f>IMDIV(COMPLEX(1/$D$29,0,"j"),COMPLEX(1-$B26*$B26*$D$30*$D$30,$B26*2*$D$21*$D$30,"j"))</f>
        <v>0.202645479917172-1.62118977837383E-004j</v>
      </c>
      <c r="S26" s="11">
        <f>IMABS($R26)</f>
        <v>0.20264554476579033</v>
      </c>
      <c r="T26" s="34" t="str">
        <f>IMPRODUCT(IMDIV($D$23,COMPLEX(1,$B26*$D$31,"j")),$AU26)</f>
        <v>376399.999996225-1.19195543859773j</v>
      </c>
      <c r="U26" s="21">
        <f>IMABS($T26)</f>
        <v>376399.99999811227</v>
      </c>
      <c r="V26" s="9" t="str">
        <f>IMPRODUCT($R26,$T26)</f>
        <v>76275.75844682-61.2631276392735j</v>
      </c>
      <c r="W26" s="189">
        <f>IMABS($V26)</f>
        <v>76275.78304946098</v>
      </c>
      <c r="X26" s="10">
        <f t="shared" si="3"/>
        <v>38137.89152473049</v>
      </c>
      <c r="Y26" s="21">
        <f t="shared" si="4"/>
        <v>479.254879349991</v>
      </c>
      <c r="Z26" s="10" t="str">
        <f>IMPRODUCT($M26,$V26)</f>
        <v>6.27945952133338-4.33140825451046j</v>
      </c>
      <c r="AA26" s="18">
        <f>IMABS($Z26)</f>
        <v>7.628414602478407</v>
      </c>
      <c r="AB26" s="13">
        <f>180/PI()*IMARGUMENT($Z26)</f>
        <v>-34.596904406638615</v>
      </c>
      <c r="AC26" s="9" t="str">
        <f>IMDIV($V26,IMSUM(1,IMPRODUCT($V26,$M26)))</f>
        <v>7742.14696104398+4598.2996442198j</v>
      </c>
      <c r="AD26" s="18">
        <f>IMABS($AC26)</f>
        <v>9004.732044010774</v>
      </c>
      <c r="AE26" s="16">
        <f>180/PI()*IMARGUMENT($AC26)</f>
        <v>30.707381507838928</v>
      </c>
      <c r="AF26" s="33">
        <f t="shared" si="5"/>
        <v>4502.366022005387</v>
      </c>
      <c r="AG26" s="9" t="str">
        <f>IMPRODUCT($AC26,COMPLEX(0,$B26,"j"),COMPLEX($D$19,0,"j"))</f>
        <v>-28.891968762571+48.6453440316567j</v>
      </c>
      <c r="AH26" s="12">
        <f>IMABS(AG26)</f>
        <v>56.5784000740178</v>
      </c>
      <c r="AI26" s="35">
        <f>180/PI()*IMARGUMENT($AG26)</f>
        <v>120.7073815078389</v>
      </c>
      <c r="AJ26" s="55" t="str">
        <f>IMDIV(COMPLEX(0,$B26,"j"),COMPLEX(1/$D$26,$B26,"j"))</f>
        <v>0.505141390865193+0.499973565401183j</v>
      </c>
      <c r="AK26" s="35">
        <f>IMABS(AJ26)</f>
        <v>0.7107329954808576</v>
      </c>
      <c r="AL26" s="13">
        <f>180/PI()*IMARGUMENT($AJ26)</f>
        <v>44.705414811084815</v>
      </c>
      <c r="AM26" s="36" t="str">
        <f>IMPRODUCT(AG26,AJ26)</f>
        <v>-38.9159153812334+10.1275561095847j</v>
      </c>
      <c r="AN26" s="35">
        <f>IMABS(AM26)</f>
        <v>40.212135764121065</v>
      </c>
      <c r="AO26" s="57">
        <f>180/PI()*IMARGUMENT($AM26)</f>
        <v>165.41279631892368</v>
      </c>
      <c r="AP26" s="203">
        <f t="shared" si="6"/>
        <v>479.2473646383152</v>
      </c>
      <c r="AQ26" s="136">
        <f t="shared" si="7"/>
        <v>29952960.2898947</v>
      </c>
      <c r="AR26" s="134">
        <f t="shared" si="8"/>
        <v>43.73978537994873</v>
      </c>
      <c r="AS26" s="134">
        <f t="shared" si="9"/>
        <v>52.330497837714354</v>
      </c>
      <c r="AT26" s="140">
        <f t="shared" si="10"/>
        <v>1598.3734951313543</v>
      </c>
      <c r="AU26" s="106">
        <f>IF($D$40,IMDIV(COMPLEX($D$35,$B26,"j"),COMPLEX($D$34,$B26,"j")),1)</f>
        <v>1</v>
      </c>
      <c r="AV26" s="107">
        <f>IMABS(AU26)</f>
        <v>1</v>
      </c>
      <c r="AW26">
        <f t="shared" si="13"/>
        <v>3763.9999999811225</v>
      </c>
      <c r="AX26" s="354">
        <f t="shared" si="14"/>
        <v>417.64914098310953</v>
      </c>
    </row>
    <row r="27" spans="1:50" ht="15" customHeight="1" thickBot="1">
      <c r="A27" s="60">
        <v>0.003</v>
      </c>
      <c r="B27" s="124">
        <f t="shared" si="11"/>
        <v>0.01884955592153876</v>
      </c>
      <c r="C27" s="81"/>
      <c r="D27" s="321"/>
      <c r="E27" s="83"/>
      <c r="F27" s="81"/>
      <c r="G27" s="83"/>
      <c r="H27" s="9" t="str">
        <f>IMDIV(COMPLEX(0,$D$14*$B27,"j"),COMPLEX(1,$B27*$D$20*$D$14,"j"))</f>
        <v>1.65092110045085E-012+4.54274297703084E-007j</v>
      </c>
      <c r="I27" s="10" t="str">
        <f>COMPLEX(1/$D$16,0,"j")</f>
        <v>1.72117039586919E-006</v>
      </c>
      <c r="J27" s="10" t="str">
        <f>IMPRODUCT(1/$D$17,IMDIV(COMPLEX(1/$D$15,0,"j"),COMPLEX(1/$D$15,$B27,"j")))</f>
        <v>2.83484799223363E-006-4.29622431099706E-006j</v>
      </c>
      <c r="K27" s="11" t="str">
        <f>IMSUM($H27,$I27,$J27)</f>
        <v>4.55602003902392E-006-3.84195001329398E-006j</v>
      </c>
      <c r="L27" s="116" t="str">
        <f>COMPLEX($D$18,0,"j")</f>
        <v>12.98</v>
      </c>
      <c r="M27" s="9" t="str">
        <f>IMPRODUCT($L27,$K27)</f>
        <v>5.91371401065305E-005-4.98685111725559E-005j</v>
      </c>
      <c r="N27" s="11">
        <f>IMABS($M27)</f>
        <v>7.735676923545057E-05</v>
      </c>
      <c r="O27" s="18">
        <f t="shared" si="12"/>
        <v>12927.116914051863</v>
      </c>
      <c r="P27" s="18">
        <f t="shared" si="1"/>
        <v>6463.558457025932</v>
      </c>
      <c r="Q27" s="115">
        <f t="shared" si="2"/>
        <v>121.83520658784508</v>
      </c>
      <c r="R27" s="9" t="str">
        <f>IMDIV(COMPLEX(1/$D$29,0,"j"),COMPLEX(1-$B27*$B27*$D$30*$D$30,$B27*2*$D$21*$D$30,"j"))</f>
        <v>0.202649370836426-2.43187999771703E-004j</v>
      </c>
      <c r="S27" s="11">
        <f>IMABS($R27)</f>
        <v>0.20264951675442636</v>
      </c>
      <c r="T27" s="34" t="str">
        <f>IMPRODUCT(IMDIV($D$23,COMPLEX(1,$B27*$D$31,"j")),$AU27)</f>
        <v>376399.999991507-1.78793315787419j</v>
      </c>
      <c r="U27" s="21">
        <f>IMABS($T27)</f>
        <v>376399.9999957534</v>
      </c>
      <c r="V27" s="9" t="str">
        <f>IMPRODUCT($R27,$T27)</f>
        <v>76277.2227463058-91.8982866415444j</v>
      </c>
      <c r="W27" s="189">
        <f>IMABS($V27)</f>
        <v>76277.27810550555</v>
      </c>
      <c r="X27" s="10">
        <f t="shared" si="3"/>
        <v>38138.63905275278</v>
      </c>
      <c r="Y27" s="21">
        <f t="shared" si="4"/>
        <v>718.8964095962455</v>
      </c>
      <c r="Z27" s="10" t="str">
        <f>IMPRODUCT($M27,$V27)</f>
        <v>4.5062339777512-3.80926613658836j</v>
      </c>
      <c r="AA27" s="18">
        <f>IMABS($Z27)</f>
        <v>5.900563800315883</v>
      </c>
      <c r="AB27" s="13">
        <f>180/PI()*IMARGUMENT($Z27)</f>
        <v>-40.20892353322778</v>
      </c>
      <c r="AC27" s="9" t="str">
        <f>IMDIV($V27,IMSUM(1,IMPRODUCT($V27,$M27)))</f>
        <v>9376.72410635711+6470.21893144951j</v>
      </c>
      <c r="AD27" s="18">
        <f>IMABS($AC27)</f>
        <v>11392.396059987828</v>
      </c>
      <c r="AE27" s="16">
        <f>180/PI()*IMARGUMENT($AC27)</f>
        <v>34.606831710710644</v>
      </c>
      <c r="AF27" s="33">
        <f t="shared" si="5"/>
        <v>5696.198029993914</v>
      </c>
      <c r="AG27" s="9" t="str">
        <f>IMPRODUCT($AC27,COMPLEX(0,$B27,"j"),COMPLEX($D$19,0,"j"))</f>
        <v>-60.9803767864783+88.3735427018096j</v>
      </c>
      <c r="AH27" s="12">
        <f>IMABS(AG27)</f>
        <v>107.37080330652941</v>
      </c>
      <c r="AI27" s="35">
        <f>180/PI()*IMARGUMENT($AG27)</f>
        <v>124.60683171071067</v>
      </c>
      <c r="AJ27" s="55" t="str">
        <f>IMDIV(COMPLEX(0,$B27,"j"),COMPLEX(1/$D$26,$B27,"j"))</f>
        <v>0.696671264831002+0.459696001276685j</v>
      </c>
      <c r="AK27" s="35">
        <f>IMABS(AJ27)</f>
        <v>0.8346683561936453</v>
      </c>
      <c r="AL27" s="13">
        <f>180/PI()*IMARGUMENT($AJ27)</f>
        <v>33.41867904722216</v>
      </c>
      <c r="AM27" s="36" t="str">
        <f>IMPRODUCT(AG27,AJ27)</f>
        <v>-83.1082404243832+33.5348724065766j</v>
      </c>
      <c r="AN27" s="35">
        <f>IMABS(AM27)</f>
        <v>89.61901189905217</v>
      </c>
      <c r="AO27" s="57">
        <f>180/PI()*IMARGUMENT($AM27)</f>
        <v>158.0255107579328</v>
      </c>
      <c r="AP27" s="203">
        <f t="shared" si="6"/>
        <v>718.8710469574729</v>
      </c>
      <c r="AQ27" s="136">
        <f t="shared" si="7"/>
        <v>19968640.193263136</v>
      </c>
      <c r="AR27" s="134">
        <f t="shared" si="8"/>
        <v>65.60967806992309</v>
      </c>
      <c r="AS27" s="134">
        <f t="shared" si="9"/>
        <v>117.74362013485728</v>
      </c>
      <c r="AT27" s="140">
        <f t="shared" si="10"/>
        <v>1598.3734951313543</v>
      </c>
      <c r="AU27" s="106">
        <f>IF($D$40,IMDIV(COMPLEX($D$35,$B27,"j"),COMPLEX($D$34,$B27,"j")),1)</f>
        <v>1</v>
      </c>
      <c r="AV27" s="107">
        <f>IMABS(AU27)</f>
        <v>1</v>
      </c>
      <c r="AW27">
        <f t="shared" si="13"/>
        <v>3763.999999957534</v>
      </c>
      <c r="AX27" s="354">
        <f t="shared" si="14"/>
        <v>282.0433626951025</v>
      </c>
    </row>
    <row r="28" spans="1:50" ht="15" customHeight="1" thickBot="1">
      <c r="A28" s="60">
        <v>0.004</v>
      </c>
      <c r="B28" s="124">
        <f t="shared" si="11"/>
        <v>0.025132741228718346</v>
      </c>
      <c r="C28" s="337" t="s">
        <v>53</v>
      </c>
      <c r="D28" s="338"/>
      <c r="E28" s="338"/>
      <c r="F28" s="338"/>
      <c r="G28" s="339"/>
      <c r="H28" s="9" t="str">
        <f>IMDIV(COMPLEX(0,$D$14*$B28,"j"),COMPLEX(1,$B28*$D$20*$D$14,"j"))</f>
        <v>2.9349708452158E-012+6.0569906359789E-007j</v>
      </c>
      <c r="I28" s="10" t="str">
        <f>COMPLEX(1/$D$16,0,"j")</f>
        <v>1.72117039586919E-006</v>
      </c>
      <c r="J28" s="10" t="str">
        <f>IMPRODUCT(1/$D$17,IMDIV(COMPLEX(1/$D$15,0,"j"),COMPLEX(1/$D$15,$B28,"j")))</f>
        <v>1.83859520184693E-006-3.71519856956352E-006j</v>
      </c>
      <c r="K28" s="11" t="str">
        <f>IMSUM($H28,$I28,$J28)</f>
        <v>3.55976853268697E-006-3.10949950596563E-006j</v>
      </c>
      <c r="L28" s="116" t="str">
        <f>COMPLEX($D$18,0,"j")</f>
        <v>12.98</v>
      </c>
      <c r="M28" s="9" t="str">
        <f>IMPRODUCT($L28,$K28)</f>
        <v>4.62057955542769E-005-4.03613035874339E-005j</v>
      </c>
      <c r="N28" s="11">
        <f>IMABS($M28)</f>
        <v>6.135153111439551E-05</v>
      </c>
      <c r="O28" s="18">
        <f t="shared" si="12"/>
        <v>16299.511712843956</v>
      </c>
      <c r="P28" s="18">
        <f t="shared" si="1"/>
        <v>8149.755856421978</v>
      </c>
      <c r="Q28" s="115">
        <f t="shared" si="2"/>
        <v>204.82570501668545</v>
      </c>
      <c r="R28" s="9" t="str">
        <f>IMDIV(COMPLEX(1/$D$29,0,"j"),COMPLEX(1-$B28*$B28*$D$30*$D$30,$B28*2*$D$21*$D$30,"j"))</f>
        <v>0.202654818363511-3.24268462563222E-004j</v>
      </c>
      <c r="S28" s="11">
        <f>IMABS($R28)</f>
        <v>0.20265507779471859</v>
      </c>
      <c r="T28" s="34" t="str">
        <f>IMPRODUCT(IMDIV($D$23,COMPLEX(1,$B28*$D$31,"j")),$AU28)</f>
        <v>376399.999984902-2.38391087712375j</v>
      </c>
      <c r="U28" s="21">
        <f>IMABS($T28)</f>
        <v>376399.9999924511</v>
      </c>
      <c r="V28" s="9" t="str">
        <f>IMPRODUCT($R28,$T28)</f>
        <v>76279.2728559387-122.537760329699j</v>
      </c>
      <c r="W28" s="189">
        <f>IMABS($V28)</f>
        <v>76279.37128040224</v>
      </c>
      <c r="X28" s="10">
        <f t="shared" si="3"/>
        <v>38139.68564020112</v>
      </c>
      <c r="Y28" s="21">
        <f t="shared" si="4"/>
        <v>958.5548497398397</v>
      </c>
      <c r="Z28" s="10" t="str">
        <f>IMPRODUCT($M28,$V28)</f>
        <v>3.51959870286482-3.08439284386872j</v>
      </c>
      <c r="AA28" s="18">
        <f>IMABS($Z28)</f>
        <v>4.679856220496127</v>
      </c>
      <c r="AB28" s="13">
        <f>180/PI()*IMARGUMENT($Z28)</f>
        <v>-41.22963545437582</v>
      </c>
      <c r="AC28" s="9" t="str">
        <f>IMDIV($V28,IMSUM(1,IMPRODUCT($V28,$M28)))</f>
        <v>11527.2797729942+7839.66095447968j</v>
      </c>
      <c r="AD28" s="18">
        <f>IMABS($AC28)</f>
        <v>13940.533090455128</v>
      </c>
      <c r="AE28" s="16">
        <f>180/PI()*IMARGUMENT($AC28)</f>
        <v>34.219477075379416</v>
      </c>
      <c r="AF28" s="33">
        <f t="shared" si="5"/>
        <v>6970.266545227564</v>
      </c>
      <c r="AG28" s="9" t="str">
        <f>IMPRODUCT($AC28,COMPLEX(0,$B28,"j"),COMPLEX($D$19,0,"j"))</f>
        <v>-98.5160850449123+144.856069802851j</v>
      </c>
      <c r="AH28" s="12">
        <f>IMABS(AG28)</f>
        <v>175.18190537639677</v>
      </c>
      <c r="AI28" s="35">
        <f>180/PI()*IMARGUMENT($AG28)</f>
        <v>124.2194770753794</v>
      </c>
      <c r="AJ28" s="55" t="str">
        <f>IMDIV(COMPLEX(0,$B28,"j"),COMPLEX(1/$D$26,$B28,"j"))</f>
        <v>0.803270313402378+0.397526246943297j</v>
      </c>
      <c r="AK28" s="35">
        <f>IMABS(AJ28)</f>
        <v>0.896253487246983</v>
      </c>
      <c r="AL28" s="13">
        <f>180/PI()*IMARGUMENT($AJ28)</f>
        <v>26.330107053104747</v>
      </c>
      <c r="AM28" s="36" t="str">
        <f>IMPRODUCT(AG28,AJ28)</f>
        <v>-136.719136284886+77.1958510373222j</v>
      </c>
      <c r="AN28" s="35">
        <f>IMABS(AM28)</f>
        <v>157.0073935961669</v>
      </c>
      <c r="AO28" s="35">
        <f>180/PI()*IMARGUMENT($AM28)</f>
        <v>150.54958412848424</v>
      </c>
      <c r="AP28" s="203">
        <f t="shared" si="6"/>
        <v>958.4947292766304</v>
      </c>
      <c r="AQ28" s="136">
        <f t="shared" si="7"/>
        <v>14976480.14494735</v>
      </c>
      <c r="AR28" s="134">
        <f t="shared" si="8"/>
        <v>87.47957075989746</v>
      </c>
      <c r="AS28" s="134">
        <f t="shared" si="9"/>
        <v>209.32199135085742</v>
      </c>
      <c r="AT28" s="140">
        <f t="shared" si="10"/>
        <v>1598.3734951313543</v>
      </c>
      <c r="AU28" s="106">
        <f>IF($D$40,IMDIV(COMPLEX($D$35,$B28,"j"),COMPLEX($D$34,$B28,"j")),1)</f>
        <v>1</v>
      </c>
      <c r="AV28" s="107">
        <f>IMABS(AU28)</f>
        <v>1</v>
      </c>
      <c r="AW28">
        <f t="shared" si="13"/>
        <v>3763.999999924511</v>
      </c>
      <c r="AX28" s="354">
        <f t="shared" si="14"/>
        <v>211.26352574679123</v>
      </c>
    </row>
    <row r="29" spans="1:50" ht="15" customHeight="1">
      <c r="A29" s="60">
        <v>0.005</v>
      </c>
      <c r="B29" s="124">
        <f t="shared" si="11"/>
        <v>0.031415926535897934</v>
      </c>
      <c r="C29" s="152" t="s">
        <v>24</v>
      </c>
      <c r="D29" s="149">
        <f>4*PI()*PI()*$D$19/($D$22*$D$22)</f>
        <v>4.934802200544679</v>
      </c>
      <c r="E29" s="150" t="s">
        <v>112</v>
      </c>
      <c r="F29" s="127" t="s">
        <v>279</v>
      </c>
      <c r="G29" s="32"/>
      <c r="H29" s="9" t="str">
        <f>IMDIV(COMPLEX(0,$D$14*$B29,"j"),COMPLEX(1,$B29*$D$20*$D$14,"j"))</f>
        <v>4.58589194558912E-012+7.57123829487363E-007j</v>
      </c>
      <c r="I29" s="10" t="str">
        <f>COMPLEX(1/$D$16,0,"j")</f>
        <v>1.72117039586919E-006</v>
      </c>
      <c r="J29" s="10" t="str">
        <f>IMPRODUCT(1/$D$17,IMDIV(COMPLEX(1/$D$15,0,"j"),COMPLEX(1/$D$15,$B29,"j")))</f>
        <v>1.26639007748119E-006-3.19869933825111E-006j</v>
      </c>
      <c r="K29" s="11" t="str">
        <f>IMSUM($H29,$I29,$J29)</f>
        <v>2.98756505924233E-006-2.44157550876375E-006j</v>
      </c>
      <c r="L29" s="116" t="str">
        <f>COMPLEX($D$18,0,"j")</f>
        <v>12.98</v>
      </c>
      <c r="M29" s="9" t="str">
        <f>IMPRODUCT($L29,$K29)</f>
        <v>3.87785944689654E-005-3.16916501037535E-005j</v>
      </c>
      <c r="N29" s="11">
        <f>IMABS($M29)</f>
        <v>5.0081334599701045E-05</v>
      </c>
      <c r="O29" s="18">
        <f t="shared" si="12"/>
        <v>19967.518996707597</v>
      </c>
      <c r="P29" s="18">
        <f t="shared" si="1"/>
        <v>9983.759498353798</v>
      </c>
      <c r="Q29" s="115">
        <f t="shared" si="2"/>
        <v>313.64905495235615</v>
      </c>
      <c r="R29" s="9" t="str">
        <f>IMDIV(COMPLEX(1/$D$29,0,"j"),COMPLEX(1-$B29*$B29*$D$30*$D$30,$B29*2*$D$21*$D$30,"j"))</f>
        <v>0.202661822738586-4.05364181895362E-004j</v>
      </c>
      <c r="S29" s="11">
        <f>IMABS($R29)</f>
        <v>0.20266222814290286</v>
      </c>
      <c r="T29" s="34" t="str">
        <f>IMPRODUCT(IMDIV($D$23,COMPLEX(1,$B29*$D$31,"j")),$AU29)</f>
        <v>376399.999976409-2.97988859633745j</v>
      </c>
      <c r="U29" s="21">
        <f>IMABS($T29)</f>
        <v>376399.99998820457</v>
      </c>
      <c r="V29" s="9" t="str">
        <f>IMPRODUCT($R29,$T29)</f>
        <v>76281.9088660827-153.182987710343j</v>
      </c>
      <c r="W29" s="189">
        <f>IMABS($V29)</f>
        <v>76282.06267059818</v>
      </c>
      <c r="X29" s="10">
        <f t="shared" si="3"/>
        <v>38141.03133529909</v>
      </c>
      <c r="Y29" s="21">
        <f t="shared" si="4"/>
        <v>1198.2358384331374</v>
      </c>
      <c r="Z29" s="10" t="str">
        <f>IMPRODUCT($M29,$V29)</f>
        <v>2.95325058758803-2.42343978599027j</v>
      </c>
      <c r="AA29" s="18">
        <f>IMABS($Z29)</f>
        <v>3.820307504561591</v>
      </c>
      <c r="AB29" s="13">
        <f>180/PI()*IMARGUMENT($Z29)</f>
        <v>-39.37232963838943</v>
      </c>
      <c r="AC29" s="9" t="str">
        <f>IMDIV($V29,IMSUM(1,IMPRODUCT($V29,$M29)))</f>
        <v>14042.5660044973+8569.68952875125j</v>
      </c>
      <c r="AD29" s="18">
        <f>IMABS($AC29)</f>
        <v>16450.934277719673</v>
      </c>
      <c r="AE29" s="16">
        <f>180/PI()*IMARGUMENT($AC29)</f>
        <v>31.39426442807522</v>
      </c>
      <c r="AF29" s="33">
        <f t="shared" si="5"/>
        <v>8225.467138859836</v>
      </c>
      <c r="AG29" s="9" t="str">
        <f>IMPRODUCT($AC29,COMPLEX(0,$B29,"j"),COMPLEX($D$19,0,"j"))</f>
        <v>-134.612368335351+220.580110986392j</v>
      </c>
      <c r="AH29" s="12">
        <f>IMABS(AG29)</f>
        <v>258.4106713578625</v>
      </c>
      <c r="AI29" s="35">
        <f>180/PI()*IMARGUMENT($AG29)</f>
        <v>121.39426442807518</v>
      </c>
      <c r="AJ29" s="55" t="str">
        <f>IMDIV(COMPLEX(0,$B29,"j"),COMPLEX(1/$D$26,$B29,"j"))</f>
        <v>0.864496261709513+0.342260829192869j</v>
      </c>
      <c r="AK29" s="35">
        <f>IMABS(AJ29)</f>
        <v>0.9297829110655417</v>
      </c>
      <c r="AL29" s="13">
        <f>180/PI()*IMARGUMENT($AJ29)</f>
        <v>21.598999948106254</v>
      </c>
      <c r="AM29" s="36" t="str">
        <f>IMPRODUCT(AG29,AJ29)</f>
        <v>-191.867820895433+144.618140549132j</v>
      </c>
      <c r="AN29" s="35">
        <f>IMABS(AM29)</f>
        <v>240.26582626551462</v>
      </c>
      <c r="AO29" s="35">
        <f>180/PI()*IMARGUMENT($AM29)</f>
        <v>142.99326437618154</v>
      </c>
      <c r="AP29" s="203">
        <f t="shared" si="6"/>
        <v>1198.1184115957883</v>
      </c>
      <c r="AQ29" s="136">
        <f t="shared" si="7"/>
        <v>11981184.11595788</v>
      </c>
      <c r="AR29" s="134">
        <f t="shared" si="8"/>
        <v>109.34946344987182</v>
      </c>
      <c r="AS29" s="134">
        <f t="shared" si="9"/>
        <v>327.0656114857147</v>
      </c>
      <c r="AT29" s="140">
        <f t="shared" si="10"/>
        <v>1598.3734951313543</v>
      </c>
      <c r="AU29" s="106">
        <f>IF($D$40,IMDIV(COMPLEX($D$35,$B29,"j"),COMPLEX($D$34,$B29,"j")),1)</f>
        <v>1</v>
      </c>
      <c r="AV29" s="107">
        <f>IMABS(AU29)</f>
        <v>1</v>
      </c>
      <c r="AW29">
        <f t="shared" si="13"/>
        <v>3763.999999882046</v>
      </c>
      <c r="AX29" s="354">
        <f t="shared" si="14"/>
        <v>167.44125801559733</v>
      </c>
    </row>
    <row r="30" spans="1:50" ht="15" customHeight="1">
      <c r="A30" s="60">
        <v>0.006</v>
      </c>
      <c r="B30" s="124">
        <f t="shared" si="11"/>
        <v>0.03769911184307752</v>
      </c>
      <c r="C30" s="153" t="s">
        <v>25</v>
      </c>
      <c r="D30" s="101">
        <f>$D$22/(2*PI())</f>
        <v>0.3183098861837907</v>
      </c>
      <c r="E30" s="148" t="s">
        <v>45</v>
      </c>
      <c r="F30" s="129" t="s">
        <v>152</v>
      </c>
      <c r="G30" s="192"/>
      <c r="H30" s="9" t="str">
        <f>IMDIV(COMPLEX(0,$D$14*$B30,"j"),COMPLEX(1,$B30*$D$20*$D$14,"j"))</f>
        <v>6.60368440154174E-012+9.0854859537017E-007j</v>
      </c>
      <c r="I30" s="10" t="str">
        <f>COMPLEX(1/$D$16,0,"j")</f>
        <v>1.72117039586919E-006</v>
      </c>
      <c r="J30" s="10" t="str">
        <f>IMPRODUCT(1/$D$17,IMDIV(COMPLEX(1/$D$15,0,"j"),COMPLEX(1/$D$15,$B30,"j")))</f>
        <v>9.17422439112045E-007-2.7807152956105E-006j</v>
      </c>
      <c r="K30" s="11" t="str">
        <f>IMSUM($H30,$I30,$J30)</f>
        <v>2.63859943866564E-006-1.87216670024033E-006j</v>
      </c>
      <c r="L30" s="116" t="str">
        <f>COMPLEX($D$18,0,"j")</f>
        <v>12.98</v>
      </c>
      <c r="M30" s="9" t="str">
        <f>IMPRODUCT($L30,$K30)</f>
        <v>3.424902071388E-005-2.43007237691195E-005j</v>
      </c>
      <c r="N30" s="11">
        <f>IMABS($M30)</f>
        <v>4.199429241650383E-05</v>
      </c>
      <c r="O30" s="18">
        <f t="shared" si="12"/>
        <v>23812.7598408349</v>
      </c>
      <c r="P30" s="18">
        <f t="shared" si="1"/>
        <v>11906.37992041745</v>
      </c>
      <c r="Q30" s="115">
        <f t="shared" si="2"/>
        <v>448.85994826598983</v>
      </c>
      <c r="R30" s="9" t="str">
        <f>IMDIV(COMPLEX(1/$D$29,0,"j"),COMPLEX(1-$B30*$B30*$D$30*$D$30,$B30*2*$D$21*$D$30,"j"))</f>
        <v>0.20267038427047-4.86478975221561E-004j</v>
      </c>
      <c r="S30" s="11">
        <f>IMABS($R30)</f>
        <v>0.2026709681284749</v>
      </c>
      <c r="T30" s="34" t="str">
        <f>IMPRODUCT(IMDIV($D$23,COMPLEX(1,$B30*$D$31,"j")),$AU30)</f>
        <v>376399.999966029-3.57586631550633j</v>
      </c>
      <c r="U30" s="21">
        <f>IMABS($T30)</f>
        <v>376399.99998301466</v>
      </c>
      <c r="V30" s="9" t="str">
        <f>IMPRODUCT($R30,$T30)</f>
        <v>76285.1308929362-183.835408457133j</v>
      </c>
      <c r="W30" s="189">
        <f>IMABS($V30)</f>
        <v>76285.35240011552</v>
      </c>
      <c r="X30" s="10">
        <f t="shared" si="3"/>
        <v>38142.67620005776</v>
      </c>
      <c r="Y30" s="21">
        <f t="shared" si="4"/>
        <v>1437.9450160602685</v>
      </c>
      <c r="Z30" s="10" t="str">
        <f>IMPRODUCT($M30,$V30)</f>
        <v>2.60822369463332-1.86008007623256j</v>
      </c>
      <c r="AA30" s="18">
        <f>IMABS($Z30)</f>
        <v>3.2035493957864944</v>
      </c>
      <c r="AB30" s="13">
        <f>180/PI()*IMARGUMENT($Z30)</f>
        <v>-35.49493577893385</v>
      </c>
      <c r="AC30" s="9" t="str">
        <f>IMDIV($V30,IMSUM(1,IMPRODUCT($V30,$M30)))</f>
        <v>16723.8800897125+8570.40010842845j</v>
      </c>
      <c r="AD30" s="18">
        <f>IMABS($AC30)</f>
        <v>18792.017541329416</v>
      </c>
      <c r="AE30" s="16">
        <f>180/PI()*IMARGUMENT($AC30)</f>
        <v>27.133542981967885</v>
      </c>
      <c r="AF30" s="33">
        <f t="shared" si="5"/>
        <v>9396.008770664708</v>
      </c>
      <c r="AG30" s="9" t="str">
        <f>IMPRODUCT($AC30,COMPLEX(0,$B30,"j"),COMPLEX($D$19,0,"j"))</f>
        <v>-161.548236113784+315.237712976144j</v>
      </c>
      <c r="AH30" s="12">
        <f>IMABS(AG30)</f>
        <v>354.22118552382585</v>
      </c>
      <c r="AI30" s="35">
        <f>180/PI()*IMARGUMENT($AG30)</f>
        <v>117.13354298196793</v>
      </c>
      <c r="AJ30" s="55" t="str">
        <f>IMDIV(COMPLEX(0,$B30,"j"),COMPLEX(1/$D$26,$B30,"j"))</f>
        <v>0.901835799015011+0.297536536630323j</v>
      </c>
      <c r="AK30" s="35">
        <f>IMABS(AJ30)</f>
        <v>0.9496503561916937</v>
      </c>
      <c r="AL30" s="13">
        <f>180/PI()*IMARGUMENT($AJ30)</f>
        <v>18.258920750646254</v>
      </c>
      <c r="AM30" s="36" t="str">
        <f>IMPRODUCT(AG30,AJ30)</f>
        <v>-239.484719929326+236.226152089473j</v>
      </c>
      <c r="AN30" s="35">
        <f>IMABS(AM30)</f>
        <v>336.3862750033457</v>
      </c>
      <c r="AO30" s="35">
        <f>180/PI()*IMARGUMENT($AM30)</f>
        <v>135.39246373261415</v>
      </c>
      <c r="AP30" s="203">
        <f t="shared" si="6"/>
        <v>1437.7420939149458</v>
      </c>
      <c r="AQ30" s="136">
        <f t="shared" si="7"/>
        <v>9984320.096631568</v>
      </c>
      <c r="AR30" s="134">
        <f t="shared" si="8"/>
        <v>131.21935613984618</v>
      </c>
      <c r="AS30" s="134">
        <f t="shared" si="9"/>
        <v>470.9744805394291</v>
      </c>
      <c r="AT30" s="140">
        <f t="shared" si="10"/>
        <v>1598.3734951313543</v>
      </c>
      <c r="AU30" s="106">
        <f>IF($D$40,IMDIV(COMPLEX($D$35,$B30,"j"),COMPLEX($D$34,$B30,"j")),1)</f>
        <v>1</v>
      </c>
      <c r="AV30" s="107">
        <f>IMABS(AU30)</f>
        <v>1</v>
      </c>
      <c r="AW30">
        <f t="shared" si="13"/>
        <v>3763.9999998301464</v>
      </c>
      <c r="AX30" s="354">
        <f t="shared" si="14"/>
        <v>137.5618254546148</v>
      </c>
    </row>
    <row r="31" spans="1:50" ht="15" customHeight="1">
      <c r="A31" s="60">
        <v>0.006999999999999999</v>
      </c>
      <c r="B31" s="124">
        <f t="shared" si="11"/>
        <v>0.0439822971502571</v>
      </c>
      <c r="C31" s="153" t="s">
        <v>54</v>
      </c>
      <c r="D31" s="102">
        <f>$D$24*$D$25</f>
        <v>0.000252</v>
      </c>
      <c r="E31" s="24" t="s">
        <v>45</v>
      </c>
      <c r="F31" s="246" t="s">
        <v>207</v>
      </c>
      <c r="G31" s="192"/>
      <c r="H31" s="9" t="str">
        <f>IMDIV(COMPLEX(0,$D$14*$B31,"j"),COMPLEX(1,$B31*$D$20*$D$14,"j"))</f>
        <v>8.98834821303815E-012+1.05997336124498E-006j</v>
      </c>
      <c r="I31" s="10" t="str">
        <f>COMPLEX(1/$D$16,0,"j")</f>
        <v>1.72117039586919E-006</v>
      </c>
      <c r="J31" s="10" t="str">
        <f>IMPRODUCT(1/$D$17,IMDIV(COMPLEX(1/$D$15,0,"j"),COMPLEX(1/$D$15,$B31,"j")))</f>
        <v>6.92048046403533E-007-2.44720417066168E-006j</v>
      </c>
      <c r="K31" s="11" t="str">
        <f>IMSUM($H31,$I31,$J31)</f>
        <v>2.41322743062094E-006-1.3872308094167E-006j</v>
      </c>
      <c r="L31" s="116" t="str">
        <f>COMPLEX($D$18,0,"j")</f>
        <v>12.98</v>
      </c>
      <c r="M31" s="9" t="str">
        <f>IMPRODUCT($L31,$K31)</f>
        <v>3.13236920494598E-005-1.80062559062288E-005j</v>
      </c>
      <c r="N31" s="11">
        <f>IMABS($M31)</f>
        <v>3.613030494432604E-05</v>
      </c>
      <c r="O31" s="18">
        <f t="shared" si="12"/>
        <v>27677.59645375043</v>
      </c>
      <c r="P31" s="18">
        <f t="shared" si="1"/>
        <v>13838.798226875215</v>
      </c>
      <c r="Q31" s="115">
        <f t="shared" si="2"/>
        <v>608.6621358168768</v>
      </c>
      <c r="R31" s="9" t="str">
        <f>IMDIV(COMPLEX(1/$D$29,0,"j"),COMPLEX(1-$B31*$B31*$D$30*$D$30,$B31*2*$D$21*$D$30,"j"))</f>
        <v>0.202680503336676-5.67616662208485E-004j</v>
      </c>
      <c r="S31" s="11">
        <f>IMABS($R31)</f>
        <v>0.2026812981542292</v>
      </c>
      <c r="T31" s="34" t="str">
        <f>IMPRODUCT(IMDIV($D$23,COMPLEX(1,$B31*$D$31,"j")),$AU31)</f>
        <v>376399.999953761-4.17184403462142j</v>
      </c>
      <c r="U31" s="21">
        <f>IMABS($T31)</f>
        <v>376399.9999768804</v>
      </c>
      <c r="V31" s="9" t="str">
        <f>IMPRODUCT($R31,$T31)</f>
        <v>76288.9390785449-214.496463077807j</v>
      </c>
      <c r="W31" s="189">
        <f>IMABS($V31)</f>
        <v>76289.24062056595</v>
      </c>
      <c r="X31" s="10">
        <f t="shared" si="3"/>
        <v>38144.620310282975</v>
      </c>
      <c r="Y31" s="21">
        <f t="shared" si="4"/>
        <v>1677.6880251705982</v>
      </c>
      <c r="Z31" s="10" t="str">
        <f>IMPRODUCT($M31,$V31)</f>
        <v>2.38578895627118-1.38039698101813j</v>
      </c>
      <c r="AA31" s="18">
        <f>IMABS($Z31)</f>
        <v>2.7563535275921143</v>
      </c>
      <c r="AB31" s="13">
        <f>180/PI()*IMARGUMENT($Z31)</f>
        <v>-30.05330516170798</v>
      </c>
      <c r="AC31" s="9" t="str">
        <f>IMDIV($V31,IMSUM(1,IMPRODUCT($V31,$M31)))</f>
        <v>19342.7425576762+7822.74598630592j</v>
      </c>
      <c r="AD31" s="18">
        <f>IMABS($AC31)</f>
        <v>20864.732071579623</v>
      </c>
      <c r="AE31" s="16">
        <f>180/PI()*IMARGUMENT($AC31)</f>
        <v>22.01978502404372</v>
      </c>
      <c r="AF31" s="33">
        <f t="shared" si="5"/>
        <v>10432.366035789812</v>
      </c>
      <c r="AG31" s="9" t="str">
        <f>IMPRODUCT($AC31,COMPLEX(0,$B31,"j"),COMPLEX($D$19,0,"j"))</f>
        <v>-172.031169250344+425.369125436319j</v>
      </c>
      <c r="AH31" s="12">
        <f>IMABS(AG31)</f>
        <v>458.83942296635695</v>
      </c>
      <c r="AI31" s="35">
        <f>180/PI()*IMARGUMENT($AG31)</f>
        <v>112.01978502404374</v>
      </c>
      <c r="AJ31" s="55" t="str">
        <f>IMDIV(COMPLEX(0,$B31,"j"),COMPLEX(1/$D$26,$B31,"j"))</f>
        <v>0.925950859034822+0.2618508462608j</v>
      </c>
      <c r="AK31" s="35">
        <f>IMABS(AJ31)</f>
        <v>0.9622634041855805</v>
      </c>
      <c r="AL31" s="13">
        <f>180/PI()*IMARGUMENT($AJ31)</f>
        <v>15.790441443382345</v>
      </c>
      <c r="AM31" s="36" t="str">
        <f>IMPRODUCT(AG31,AJ31)</f>
        <v>-270.675674416837+348.824399853213j</v>
      </c>
      <c r="AN31" s="35">
        <f>IMABS(AM31)</f>
        <v>441.5243851181538</v>
      </c>
      <c r="AO31" s="35">
        <f>180/PI()*IMARGUMENT($AM31)</f>
        <v>127.81022646742603</v>
      </c>
      <c r="AP31" s="203">
        <f t="shared" si="6"/>
        <v>1677.3657762341031</v>
      </c>
      <c r="AQ31" s="136">
        <f t="shared" si="7"/>
        <v>8557988.65425563</v>
      </c>
      <c r="AR31" s="134">
        <f t="shared" si="8"/>
        <v>153.08924882982055</v>
      </c>
      <c r="AS31" s="134">
        <f t="shared" si="9"/>
        <v>641.0485985120008</v>
      </c>
      <c r="AT31" s="140">
        <f t="shared" si="10"/>
        <v>1598.3734951313543</v>
      </c>
      <c r="AU31" s="106">
        <f>IF($D$40,IMDIV(COMPLEX($D$35,$B31,"j"),COMPLEX($D$34,$B31,"j")),1)</f>
        <v>1</v>
      </c>
      <c r="AV31" s="107">
        <f>IMABS(AU31)</f>
        <v>1</v>
      </c>
      <c r="AW31">
        <f t="shared" si="13"/>
        <v>3763.9999997688037</v>
      </c>
      <c r="AX31" s="354">
        <f t="shared" si="14"/>
        <v>115.88086707303324</v>
      </c>
    </row>
    <row r="32" spans="1:50" ht="15" customHeight="1" thickBot="1">
      <c r="A32" s="60">
        <v>0.008</v>
      </c>
      <c r="B32" s="124">
        <f t="shared" si="11"/>
        <v>0.05026548245743669</v>
      </c>
      <c r="C32" s="81"/>
      <c r="D32" s="82"/>
      <c r="E32" s="82"/>
      <c r="F32" s="193"/>
      <c r="G32" s="198"/>
      <c r="H32" s="9" t="str">
        <f>IMDIV(COMPLEX(0,$D$14*$B32,"j"),COMPLEX(1,$B32*$D$20*$D$14,"j"))</f>
        <v>1.17398833800362E-011+1.21139812711045E-006j</v>
      </c>
      <c r="I32" s="10" t="str">
        <f>COMPLEX(1/$D$16,0,"j")</f>
        <v>1.72117039586919E-006</v>
      </c>
      <c r="J32" s="10" t="str">
        <f>IMPRODUCT(1/$D$17,IMDIV(COMPLEX(1/$D$15,0,"j"),COMPLEX(1/$D$15,$B32,"j")))</f>
        <v>5.39207373689533E-007-2.17912291016219E-006j</v>
      </c>
      <c r="K32" s="11" t="str">
        <f>IMSUM($H32,$I32,$J32)</f>
        <v>2.2603895094421E-006-9.6772478305174E-007j</v>
      </c>
      <c r="L32" s="116" t="str">
        <f>COMPLEX($D$18,0,"j")</f>
        <v>12.98</v>
      </c>
      <c r="M32" s="9" t="str">
        <f>IMPRODUCT($L32,$K32)</f>
        <v>2.93398558325585E-005-1.25610676840116E-005j</v>
      </c>
      <c r="N32" s="11">
        <f>IMABS($M32)</f>
        <v>3.191563193229358E-05</v>
      </c>
      <c r="O32" s="18">
        <f t="shared" si="12"/>
        <v>31332.608488574464</v>
      </c>
      <c r="P32" s="18">
        <f t="shared" si="1"/>
        <v>15666.304244287232</v>
      </c>
      <c r="Q32" s="115">
        <f t="shared" si="2"/>
        <v>787.4743411640859</v>
      </c>
      <c r="R32" s="9" t="str">
        <f>IMDIV(COMPLEX(1/$D$29,0,"j"),COMPLEX(1-$B32*$B32*$D$30*$D$30,$B32*2*$D$21*$D$30,"j"))</f>
        <v>0.202692180383446-6.48781065179712E-004j</v>
      </c>
      <c r="S32" s="11">
        <f>IMABS($R32)</f>
        <v>0.20269321869629964</v>
      </c>
      <c r="T32" s="34" t="str">
        <f>IMPRODUCT(IMDIV($D$23,COMPLEX(1,$B32*$D$31,"j")),$AU32)</f>
        <v>376399.999939607-4.76782175367373j</v>
      </c>
      <c r="U32" s="21">
        <f>IMABS($T32)</f>
        <v>376399.9999698037</v>
      </c>
      <c r="V32" s="9" t="str">
        <f>IMPRODUCT($R32,$T32)</f>
        <v>76293.3335908154-245.167593081394j</v>
      </c>
      <c r="W32" s="189">
        <f>IMABS($V32)</f>
        <v>76293.72751116658</v>
      </c>
      <c r="X32" s="10">
        <f t="shared" si="3"/>
        <v>38146.86375558329</v>
      </c>
      <c r="Y32" s="21">
        <f t="shared" si="4"/>
        <v>1917.4705109124995</v>
      </c>
      <c r="Z32" s="10" t="str">
        <f>IMPRODUCT($M32,$V32)</f>
        <v>2.2353558418092-0.965518908908931j</v>
      </c>
      <c r="AA32" s="18">
        <f>IMABS($Z32)</f>
        <v>2.434962525989098</v>
      </c>
      <c r="AB32" s="13">
        <f>180/PI()*IMARGUMENT($Z32)</f>
        <v>-23.361000323126955</v>
      </c>
      <c r="AC32" s="9" t="str">
        <f>IMDIV($V32,IMSUM(1,IMPRODUCT($V32,$M32)))</f>
        <v>21673.519659026+6392.19500775313j</v>
      </c>
      <c r="AD32" s="18">
        <f>IMABS($AC32)</f>
        <v>22596.49555633197</v>
      </c>
      <c r="AE32" s="16">
        <f>180/PI()*IMARGUMENT($AC32)</f>
        <v>16.432427554326637</v>
      </c>
      <c r="AF32" s="33">
        <f t="shared" si="5"/>
        <v>11298.247778165985</v>
      </c>
      <c r="AG32" s="9" t="str">
        <f>IMPRODUCT($AC32,COMPLEX(0,$B32,"j"),COMPLEX($D$19,0,"j"))</f>
        <v>-160.653383013365+544.71496110584j</v>
      </c>
      <c r="AH32" s="12">
        <f>IMABS(AG32)</f>
        <v>567.9118754931752</v>
      </c>
      <c r="AI32" s="35">
        <f>180/PI()*IMARGUMENT($AG32)</f>
        <v>106.43242755432668</v>
      </c>
      <c r="AJ32" s="55" t="str">
        <f>IMDIV(COMPLEX(0,$B32,"j"),COMPLEX(1/$D$26,$B32,"j"))</f>
        <v>0.94230481101522+0.233166151387354j</v>
      </c>
      <c r="AK32" s="35">
        <f>IMABS(AJ32)</f>
        <v>0.970723859300481</v>
      </c>
      <c r="AL32" s="13">
        <f>180/PI()*IMARGUMENT($AJ32)</f>
        <v>13.898240261304869</v>
      </c>
      <c r="AM32" s="36" t="str">
        <f>IMPRODUCT(AG32,AJ32)</f>
        <v>-278.393546803526+475.828597457417j</v>
      </c>
      <c r="AN32" s="35">
        <f>IMABS(AM32)</f>
        <v>551.2856075213098</v>
      </c>
      <c r="AO32" s="35">
        <f>180/PI()*IMARGUMENT($AM32)</f>
        <v>120.33066781563156</v>
      </c>
      <c r="AP32" s="203">
        <f t="shared" si="6"/>
        <v>1916.9894585532609</v>
      </c>
      <c r="AQ32" s="136">
        <f t="shared" si="7"/>
        <v>7488240.072473675</v>
      </c>
      <c r="AR32" s="134">
        <f t="shared" si="8"/>
        <v>174.9591415197949</v>
      </c>
      <c r="AS32" s="134">
        <f t="shared" si="9"/>
        <v>837.2879654034297</v>
      </c>
      <c r="AT32" s="140">
        <f t="shared" si="10"/>
        <v>1598.3734951313543</v>
      </c>
      <c r="AU32" s="106">
        <f>IF($D$40,IMDIV(COMPLEX($D$35,$B32,"j"),COMPLEX($D$34,$B32,"j")),1)</f>
        <v>1</v>
      </c>
      <c r="AV32" s="107">
        <f>IMABS(AU32)</f>
        <v>1</v>
      </c>
      <c r="AW32">
        <f t="shared" si="13"/>
        <v>3763.9999996980373</v>
      </c>
      <c r="AX32" s="354">
        <f t="shared" si="14"/>
        <v>99.45570401191898</v>
      </c>
    </row>
    <row r="33" spans="1:50" ht="15" customHeight="1" thickBot="1">
      <c r="A33" s="60">
        <v>0.009</v>
      </c>
      <c r="B33" s="124">
        <f t="shared" si="11"/>
        <v>0.05654866776461627</v>
      </c>
      <c r="C33" s="340" t="s">
        <v>280</v>
      </c>
      <c r="D33" s="338"/>
      <c r="E33" s="338"/>
      <c r="F33" s="338"/>
      <c r="G33" s="339"/>
      <c r="H33" s="9" t="str">
        <f>IMDIV(COMPLEX(0,$D$14*$B33,"j"),COMPLEX(1,$B33*$D$20*$D$14,"j"))</f>
        <v>1.48582899024877E-011+1.36282289296526E-006j</v>
      </c>
      <c r="I33" s="10" t="str">
        <f>COMPLEX(1/$D$16,0,"j")</f>
        <v>1.72117039586919E-006</v>
      </c>
      <c r="J33" s="10" t="str">
        <f>IMPRODUCT(1/$D$17,IMDIV(COMPLEX(1/$D$15,0,"j"),COMPLEX(1/$D$15,$B33,"j")))</f>
        <v>4.31262494133937E-007-1.96074048780964E-006j</v>
      </c>
      <c r="K33" s="11" t="str">
        <f>IMSUM($H33,$I33,$J33)</f>
        <v>2.15244774829303E-006-5.9791759484438E-007j</v>
      </c>
      <c r="L33" s="116" t="str">
        <f>COMPLEX($D$18,0,"j")</f>
        <v>12.98</v>
      </c>
      <c r="M33" s="9" t="str">
        <f>IMPRODUCT($L33,$K33)</f>
        <v>2.79387717728435E-005-7.76097038108005E-006j</v>
      </c>
      <c r="N33" s="11">
        <f>IMABS($M33)</f>
        <v>2.8996683076363036E-05</v>
      </c>
      <c r="O33" s="18">
        <f t="shared" si="12"/>
        <v>34486.70309519509</v>
      </c>
      <c r="P33" s="18">
        <f t="shared" si="1"/>
        <v>17243.351547597544</v>
      </c>
      <c r="Q33" s="115">
        <f t="shared" si="2"/>
        <v>975.0885578135753</v>
      </c>
      <c r="R33" s="9" t="str">
        <f>IMDIV(COMPLEX(1/$D$29,0,"j"),COMPLEX(1-$B33*$B33*$D$30*$D$30,$B33*2*$D$21*$D$30,"j"))</f>
        <v>0.202705415925802-7.29976009559983E-004j</v>
      </c>
      <c r="S33" s="11">
        <f>IMABS($R33)</f>
        <v>0.20270673030421785</v>
      </c>
      <c r="T33" s="34" t="str">
        <f>IMPRODUCT(IMDIV($D$23,COMPLEX(1,$B33*$D$31,"j")),$AU33)</f>
        <v>376399.999923564-5.36379947265437j</v>
      </c>
      <c r="U33" s="21">
        <f>IMABS($T33)</f>
        <v>376399.9999617818</v>
      </c>
      <c r="V33" s="9" t="str">
        <f>IMPRODUCT($R33,$T33)</f>
        <v>76298.3146235329-275.850241145628j</v>
      </c>
      <c r="W33" s="189">
        <f>IMABS($V33)</f>
        <v>76298.81327876047</v>
      </c>
      <c r="X33" s="10">
        <f t="shared" si="3"/>
        <v>38149.406639380235</v>
      </c>
      <c r="Y33" s="21">
        <f t="shared" si="4"/>
        <v>2157.298121467559</v>
      </c>
      <c r="Z33" s="10" t="str">
        <f>IMPRODUCT($M33,$V33)</f>
        <v>2.12954033336835-0.599855876850417j</v>
      </c>
      <c r="AA33" s="18">
        <f>IMABS($Z33)</f>
        <v>2.2124125077468184</v>
      </c>
      <c r="AB33" s="13">
        <f>180/PI()*IMARGUMENT($Z33)</f>
        <v>-15.73163985939219</v>
      </c>
      <c r="AC33" s="9" t="str">
        <f>IMDIV($V33,IMSUM(1,IMPRODUCT($V33,$M33)))</f>
        <v>23532.3674030578+4422.43178469774j</v>
      </c>
      <c r="AD33" s="18">
        <f>IMABS($AC33)</f>
        <v>23944.314951211327</v>
      </c>
      <c r="AE33" s="16">
        <f>180/PI()*IMARGUMENT($AC33)</f>
        <v>10.643439711311329</v>
      </c>
      <c r="AF33" s="33">
        <f t="shared" si="5"/>
        <v>11972.157475605663</v>
      </c>
      <c r="AG33" s="9" t="str">
        <f>IMPRODUCT($AC33,COMPLEX(0,$B33,"j"),COMPLEX($D$19,0,"j"))</f>
        <v>-125.041312852276+665.362012995201j</v>
      </c>
      <c r="AH33" s="12">
        <f>IMABS(AG33)</f>
        <v>677.0095555136919</v>
      </c>
      <c r="AI33" s="35">
        <f>180/PI()*IMARGUMENT($AG33)</f>
        <v>100.64343971131134</v>
      </c>
      <c r="AJ33" s="55" t="str">
        <f>IMDIV(COMPLEX(0,$B33,"j"),COMPLEX(1/$D$26,$B33,"j"))</f>
        <v>0.953854913127669+0.209799232195631j</v>
      </c>
      <c r="AK33" s="35">
        <f>IMABS(AJ33)</f>
        <v>0.9766549611442463</v>
      </c>
      <c r="AL33" s="13">
        <f>180/PI()*IMARGUMENT($AJ33)</f>
        <v>12.404619733561331</v>
      </c>
      <c r="AM33" s="36" t="str">
        <f>IMPRODUCT(AG33,AJ33)</f>
        <v>-258.86371006661+608.425253674847j</v>
      </c>
      <c r="AN33" s="35">
        <f>IMABS(AM33)</f>
        <v>661.2047411345081</v>
      </c>
      <c r="AO33" s="35">
        <f>180/PI()*IMARGUMENT($AM33)</f>
        <v>113.04805944487268</v>
      </c>
      <c r="AP33" s="203">
        <f t="shared" si="6"/>
        <v>2156.613140872418</v>
      </c>
      <c r="AQ33" s="136">
        <f t="shared" si="7"/>
        <v>6656213.39775438</v>
      </c>
      <c r="AR33" s="134">
        <f t="shared" si="8"/>
        <v>196.82903420976925</v>
      </c>
      <c r="AS33" s="134">
        <f t="shared" si="9"/>
        <v>1059.6925812137154</v>
      </c>
      <c r="AT33" s="140">
        <f t="shared" si="10"/>
        <v>1598.3734951313543</v>
      </c>
      <c r="AU33" s="106">
        <f>IF($D$40,IMDIV(COMPLEX($D$35,$B33,"j"),COMPLEX($D$34,$B33,"j")),1)</f>
        <v>1</v>
      </c>
      <c r="AV33" s="107">
        <f>IMABS(AU33)</f>
        <v>1</v>
      </c>
      <c r="AW33">
        <f t="shared" si="13"/>
        <v>3763.9999996178176</v>
      </c>
      <c r="AX33" s="354">
        <f t="shared" si="14"/>
        <v>86.61834558991092</v>
      </c>
    </row>
    <row r="34" spans="1:50" ht="15" customHeight="1">
      <c r="A34" s="60">
        <v>0.01</v>
      </c>
      <c r="B34" s="124">
        <f t="shared" si="11"/>
        <v>0.06283185307179587</v>
      </c>
      <c r="C34" s="308" t="s">
        <v>121</v>
      </c>
      <c r="D34" s="309">
        <f>IF($D$40,0.1,$D35)</f>
        <v>10</v>
      </c>
      <c r="E34" s="296" t="s">
        <v>113</v>
      </c>
      <c r="F34" s="297" t="s">
        <v>161</v>
      </c>
      <c r="G34" s="309"/>
      <c r="H34" s="9" t="str">
        <f>IMDIV(COMPLEX(0,$D$14*$B34,"j"),COMPLEX(1,$B34*$D$20*$D$14,"j"))</f>
        <v>1.83435677803375E-011+1.51424765880807E-006j</v>
      </c>
      <c r="I34" s="10" t="str">
        <f>COMPLEX(1/$D$16,0,"j")</f>
        <v>1.72117039586919E-006</v>
      </c>
      <c r="J34" s="10" t="str">
        <f>IMPRODUCT(1/$D$17,IMDIV(COMPLEX(1/$D$15,0,"j"),COMPLEX(1/$D$15,$B34,"j")))</f>
        <v>3.52412419574558E-007-1.78027511953774E-006j</v>
      </c>
      <c r="K34" s="11" t="str">
        <f>IMSUM($H34,$I34,$J34)</f>
        <v>2.07360115901153E-006-2.6602746072967E-007j</v>
      </c>
      <c r="L34" s="116" t="str">
        <f>COMPLEX($D$18,0,"j")</f>
        <v>12.98</v>
      </c>
      <c r="M34" s="9" t="str">
        <f>IMPRODUCT($L34,$K34)</f>
        <v>2.69153430439697E-005-3.45303644027112E-006j</v>
      </c>
      <c r="N34" s="11">
        <f>IMABS($M34)</f>
        <v>2.713593838127601E-05</v>
      </c>
      <c r="O34" s="18">
        <f t="shared" si="12"/>
        <v>36851.49877440785</v>
      </c>
      <c r="P34" s="18">
        <f t="shared" si="1"/>
        <v>18425.749387203927</v>
      </c>
      <c r="Q34" s="115">
        <f t="shared" si="2"/>
        <v>1157.7239782345298</v>
      </c>
      <c r="R34" s="9" t="str">
        <f>IMDIV(COMPLEX(1/$D$29,0,"j"),COMPLEX(1-$B34*$B34*$D$30*$D$30,$B34*2*$D$21*$D$30,"j"))</f>
        <v>0.202720210547598-8.11205324320119E-004j</v>
      </c>
      <c r="S34" s="11">
        <f>IMABS($R34)</f>
        <v>0.20272183360097323</v>
      </c>
      <c r="T34" s="34" t="str">
        <f>IMPRODUCT(IMDIV($D$23,COMPLEX(1,$B34*$D$31,"j")),$AU34)</f>
        <v>376399.999905635-5.95977719155432j</v>
      </c>
      <c r="U34" s="21">
        <f>IMABS($T34)</f>
        <v>376399.9999528174</v>
      </c>
      <c r="V34" s="9" t="str">
        <f>IMPRODUCT($R34,$T34)</f>
        <v>76303.8823963832-306.545851284632j</v>
      </c>
      <c r="W34" s="189">
        <f>IMABS($V34)</f>
        <v>76304.49815784137</v>
      </c>
      <c r="X34" s="10">
        <f t="shared" si="3"/>
        <v>38152.249078920686</v>
      </c>
      <c r="Y34" s="21">
        <f t="shared" si="4"/>
        <v>2397.1765084853037</v>
      </c>
      <c r="Z34" s="10" t="str">
        <f>IMPRODUCT($M34,$V34)</f>
        <v>2.05268665629027-0.271730873194905j</v>
      </c>
      <c r="AA34" s="18">
        <f>IMABS($Z34)</f>
        <v>2.070594160225368</v>
      </c>
      <c r="AB34" s="13">
        <f>180/PI()*IMARGUMENT($Z34)</f>
        <v>-7.54086493299918</v>
      </c>
      <c r="AC34" s="9" t="str">
        <f>IMDIV($V34,IMSUM(1,IMPRODUCT($V34,$M34)))</f>
        <v>24808.0222717703+2107.83497533339j</v>
      </c>
      <c r="AD34" s="18">
        <f>IMABS($AC34)</f>
        <v>24897.40824503406</v>
      </c>
      <c r="AE34" s="16">
        <f>180/PI()*IMARGUMENT($AC34)</f>
        <v>4.856520931278205</v>
      </c>
      <c r="AF34" s="33">
        <f t="shared" si="5"/>
        <v>12448.70412251703</v>
      </c>
      <c r="AG34" s="9" t="str">
        <f>IMPRODUCT($AC34,COMPLEX(0,$B34,"j"),COMPLEX($D$19,0,"j"))</f>
        <v>-66.21958873487+779.367005190856j</v>
      </c>
      <c r="AH34" s="12">
        <f>IMABS(AG34)</f>
        <v>782.1751483602501</v>
      </c>
      <c r="AI34" s="35">
        <f>180/PI()*IMARGUMENT($AG34)</f>
        <v>94.8565209312782</v>
      </c>
      <c r="AJ34" s="55" t="str">
        <f>IMDIV(COMPLEX(0,$B34,"j"),COMPLEX(1/$D$26,$B34,"j"))</f>
        <v>0.962291871105522+0.190489437790538j</v>
      </c>
      <c r="AK34" s="35">
        <f>IMABS(AJ34)</f>
        <v>0.9809647654760705</v>
      </c>
      <c r="AL34" s="13">
        <f>180/PI()*IMARGUMENT($AJ34)</f>
        <v>11.197164824253273</v>
      </c>
      <c r="AM34" s="36" t="str">
        <f>IMPRODUCT(AG34,AJ34)</f>
        <v>-212.183754598818+737.36440147419j</v>
      </c>
      <c r="AN34" s="35">
        <f>IMABS(AM34)</f>
        <v>767.2862609724234</v>
      </c>
      <c r="AO34" s="35">
        <f>180/PI()*IMARGUMENT($AM34)</f>
        <v>106.0536857555315</v>
      </c>
      <c r="AP34" s="203">
        <f t="shared" si="6"/>
        <v>2396.2368231915766</v>
      </c>
      <c r="AQ34" s="136">
        <f t="shared" si="7"/>
        <v>5990592.05797894</v>
      </c>
      <c r="AR34" s="134">
        <f t="shared" si="8"/>
        <v>218.69892689974364</v>
      </c>
      <c r="AS34" s="134">
        <f t="shared" si="9"/>
        <v>1308.262445942859</v>
      </c>
      <c r="AT34" s="140">
        <f t="shared" si="10"/>
        <v>1598.3734951313543</v>
      </c>
      <c r="AU34" s="106">
        <f>IF($D$40,IMDIV(COMPLEX($D$35,$B34,"j"),COMPLEX($D$34,$B34,"j")),1)</f>
        <v>1</v>
      </c>
      <c r="AV34" s="107">
        <f>IMABS(AU34)</f>
        <v>1</v>
      </c>
      <c r="AW34">
        <f t="shared" si="13"/>
        <v>3763.999999528174</v>
      </c>
      <c r="AX34" s="354">
        <f t="shared" si="14"/>
        <v>76.34903359202171</v>
      </c>
    </row>
    <row r="35" spans="1:50" ht="15" customHeight="1">
      <c r="A35" s="60">
        <v>0.011</v>
      </c>
      <c r="B35" s="124">
        <f t="shared" si="11"/>
        <v>0.06911503837897544</v>
      </c>
      <c r="C35" s="310" t="s">
        <v>120</v>
      </c>
      <c r="D35" s="311">
        <v>10</v>
      </c>
      <c r="E35" s="298" t="s">
        <v>113</v>
      </c>
      <c r="F35" s="298" t="s">
        <v>162</v>
      </c>
      <c r="G35" s="357"/>
      <c r="H35" s="9" t="str">
        <f>IMDIV(COMPLEX(0,$D$14*$B35,"j"),COMPLEX(1,$B35*$D$20*$D$14,"j"))</f>
        <v>2.21957170135245E-011+1.66567242463754E-006j</v>
      </c>
      <c r="I35" s="10" t="str">
        <f>COMPLEX(1/$D$16,0,"j")</f>
        <v>1.72117039586919E-006</v>
      </c>
      <c r="J35" s="10" t="str">
        <f>IMPRODUCT(1/$D$17,IMDIV(COMPLEX(1/$D$15,0,"j"),COMPLEX(1/$D$15,$B35,"j")))</f>
        <v>2.93168541634104E-007-1.62909334252657E-006j</v>
      </c>
      <c r="K35" s="11" t="str">
        <f>IMSUM($H35,$I35,$J35)</f>
        <v>2.01436113322031E-006+3.65790821109699E-008j</v>
      </c>
      <c r="L35" s="116" t="str">
        <f>COMPLEX($D$18,0,"j")</f>
        <v>12.98</v>
      </c>
      <c r="M35" s="9" t="str">
        <f>IMPRODUCT($L35,$K35)</f>
        <v>2.61464075091996E-005+4.74796485800389E-007j</v>
      </c>
      <c r="N35" s="11">
        <f>IMABS($M35)</f>
        <v>2.6150718103716724E-05</v>
      </c>
      <c r="O35" s="18">
        <f t="shared" si="12"/>
        <v>38239.86767911635</v>
      </c>
      <c r="P35" s="18">
        <f t="shared" si="1"/>
        <v>19119.933839558176</v>
      </c>
      <c r="Q35" s="115">
        <f t="shared" si="2"/>
        <v>1321.4749611245345</v>
      </c>
      <c r="R35" s="9" t="str">
        <f>IMDIV(COMPLEX(1/$D$29,0,"j"),COMPLEX(1-$B35*$B35*$D$30*$D$30,$B35*2*$D$21*$D$30,"j"))</f>
        <v>0.202736564901582-8.92472842422692E-004j</v>
      </c>
      <c r="S35" s="11">
        <f>IMABS($R35)</f>
        <v>0.2027385292830838</v>
      </c>
      <c r="T35" s="34" t="str">
        <f>IMPRODUCT(IMDIV($D$23,COMPLEX(1,$B35*$D$31,"j")),$AU35)</f>
        <v>376399.999885818-6.55575491036458j</v>
      </c>
      <c r="U35" s="21">
        <f>IMABS($T35)</f>
        <v>376399.99994290876</v>
      </c>
      <c r="V35" s="9" t="str">
        <f>IMPRODUCT($R35,$T35)</f>
        <v>76310.0371549734-337.255869016861j</v>
      </c>
      <c r="W35" s="189">
        <f>IMABS($V35)</f>
        <v>76310.78241057818</v>
      </c>
      <c r="X35" s="10">
        <f t="shared" si="3"/>
        <v>38155.39120528909</v>
      </c>
      <c r="Y35" s="21">
        <f t="shared" si="4"/>
        <v>2637.111327518377</v>
      </c>
      <c r="Z35" s="10" t="str">
        <f>IMPRODUCT($M35,$V35)</f>
        <v>1.99539345639752+2.74137080862944E-002j</v>
      </c>
      <c r="AA35" s="18">
        <f>IMABS($Z35)</f>
        <v>1.9955817590930927</v>
      </c>
      <c r="AB35" s="13">
        <f>180/PI()*IMARGUMENT($Z35)</f>
        <v>0.7871084069495613</v>
      </c>
      <c r="AC35" s="9" t="str">
        <f>IMDIV($V35,IMSUM(1,IMPRODUCT($V35,$M35)))</f>
        <v>25472.6335322195-345.71592144149j</v>
      </c>
      <c r="AD35" s="26">
        <f>IMABS($AC35)</f>
        <v>25474.97946152443</v>
      </c>
      <c r="AE35" s="16">
        <f>180/PI()*IMARGUMENT($AC35)</f>
        <v>-0.777573590861919</v>
      </c>
      <c r="AF35" s="33">
        <f t="shared" si="5"/>
        <v>12737.489730762214</v>
      </c>
      <c r="AG35" s="9" t="str">
        <f>IMPRODUCT($AC35,COMPLEX(0,$B35,"j"),COMPLEX($D$19,0,"j"))</f>
        <v>11.9470845893257+880.271022096463j</v>
      </c>
      <c r="AH35" s="12">
        <f>IMABS(AG35)</f>
        <v>880.3520915934351</v>
      </c>
      <c r="AI35" s="35">
        <f>180/PI()*IMARGUMENT($AG35)</f>
        <v>89.2224264091381</v>
      </c>
      <c r="AJ35" s="55" t="str">
        <f>IMDIV(COMPLEX(0,$B35,"j"),COMPLEX(1/$D$26,$B35,"j"))</f>
        <v>0.968630966045151+0.174312987650343j</v>
      </c>
      <c r="AK35" s="35">
        <f>IMABS(AJ35)</f>
        <v>0.9841905130843068</v>
      </c>
      <c r="AL35" s="13">
        <f>180/PI()*IMARGUMENT($AJ35)</f>
        <v>10.201648318585944</v>
      </c>
      <c r="AM35" s="36" t="str">
        <f>IMPRODUCT(AG35,AJ35)</f>
        <v>-141.870355716474+854.740302523326j</v>
      </c>
      <c r="AN35" s="35">
        <f>IMABS(AM35)</f>
        <v>866.4341767201855</v>
      </c>
      <c r="AO35" s="35">
        <f>180/PI()*IMARGUMENT($AM35)</f>
        <v>99.42407472772405</v>
      </c>
      <c r="AP35" s="203">
        <f t="shared" si="6"/>
        <v>2635.860505510733</v>
      </c>
      <c r="AQ35" s="136">
        <f t="shared" si="7"/>
        <v>5445992.779980856</v>
      </c>
      <c r="AR35" s="134">
        <f t="shared" si="8"/>
        <v>240.56881958971795</v>
      </c>
      <c r="AS35" s="134">
        <f t="shared" si="9"/>
        <v>1582.9975595908584</v>
      </c>
      <c r="AT35" s="140">
        <f t="shared" si="10"/>
        <v>1598.3734951313543</v>
      </c>
      <c r="AU35" s="106">
        <f>IF($D$40,IMDIV(COMPLEX($D$35,$B35,"j"),COMPLEX($D$34,$B35,"j")),1)</f>
        <v>1</v>
      </c>
      <c r="AV35" s="107">
        <f>IMABS(AU35)</f>
        <v>1</v>
      </c>
      <c r="AW35">
        <f t="shared" si="13"/>
        <v>3763.9999994290874</v>
      </c>
      <c r="AX35" s="354">
        <f t="shared" si="14"/>
        <v>67.98546121442881</v>
      </c>
    </row>
    <row r="36" spans="1:50" ht="15" customHeight="1">
      <c r="A36" s="60">
        <v>0.012</v>
      </c>
      <c r="B36" s="124">
        <f t="shared" si="11"/>
        <v>0.07539822368615504</v>
      </c>
      <c r="C36" s="312" t="s">
        <v>119</v>
      </c>
      <c r="D36" s="313">
        <f>D35/D34</f>
        <v>1</v>
      </c>
      <c r="E36" s="306"/>
      <c r="F36" s="345" t="s">
        <v>276</v>
      </c>
      <c r="G36" s="346"/>
      <c r="H36" s="9" t="str">
        <f>IMDIV(COMPLEX(0,$D$14*$B36,"j"),COMPLEX(1,$B36*$D$20*$D$14,"j"))</f>
        <v>2.64147376019806E-011+1.81709719045235E-006j</v>
      </c>
      <c r="I36" s="10" t="str">
        <f>COMPLEX(1/$D$16,0,"j")</f>
        <v>1.72117039586919E-006</v>
      </c>
      <c r="J36" s="10" t="str">
        <f>IMPRODUCT(1/$D$17,IMDIV(COMPLEX(1/$D$15,0,"j"),COMPLEX(1/$D$15,$B36,"j")))</f>
        <v>2.47583486095222E-007-1.5008553472747E-006j</v>
      </c>
      <c r="K36" s="11" t="str">
        <f>IMSUM($H36,$I36,$J36)</f>
        <v>1.96878029670201E-006+3.1624184317765E-007j</v>
      </c>
      <c r="L36" s="116" t="str">
        <f>COMPLEX($D$18,0,"j")</f>
        <v>12.98</v>
      </c>
      <c r="M36" s="9" t="str">
        <f>IMPRODUCT($L36,$K36)</f>
        <v>2.55547682511921E-005+4.1048191244459E-006j</v>
      </c>
      <c r="N36" s="11">
        <f>IMABS($M36)</f>
        <v>2.5882343796815476E-05</v>
      </c>
      <c r="O36" s="18">
        <f t="shared" si="12"/>
        <v>38636.377286783376</v>
      </c>
      <c r="P36" s="18">
        <f t="shared" si="1"/>
        <v>19318.188643391688</v>
      </c>
      <c r="Q36" s="115">
        <f t="shared" si="2"/>
        <v>1456.5571085457864</v>
      </c>
      <c r="R36" s="9" t="str">
        <f>IMDIV(COMPLEX(1/$D$29,0,"j"),COMPLEX(1-$B36*$B36*$D$30*$D$30,$B36*2*$D$21*$D$30,"j"))</f>
        <v>0.202754479709463-9.73782401268551E-004j</v>
      </c>
      <c r="S36" s="11">
        <f>IMABS($R36)</f>
        <v>0.202756818120674</v>
      </c>
      <c r="T36" s="34" t="str">
        <f>IMPRODUCT(IMDIV($D$23,COMPLEX(1,$B36*$D$31,"j")),$AU36)</f>
        <v>376399.999864115-7.15173262907627j</v>
      </c>
      <c r="U36" s="21">
        <f>IMABS($T36)</f>
        <v>376399.9999320577</v>
      </c>
      <c r="V36" s="9" t="str">
        <f>IMPRODUCT($R36,$T36)</f>
        <v>76316.7791708592-367.98174153339j</v>
      </c>
      <c r="W36" s="189">
        <f>IMABS($V36)</f>
        <v>76317.66632684591</v>
      </c>
      <c r="X36" s="10">
        <f t="shared" si="3"/>
        <v>38158.833163422954</v>
      </c>
      <c r="Y36" s="21">
        <f t="shared" si="4"/>
        <v>2877.1082384584347</v>
      </c>
      <c r="Z36" s="10" t="str">
        <f>IMPRODUCT($M36,$V36)</f>
        <v>1.9517681038788+0.303862886531101j</v>
      </c>
      <c r="AA36" s="18">
        <f>IMABS($Z36)</f>
        <v>1.9752800776420691</v>
      </c>
      <c r="AB36" s="13">
        <f>180/PI()*IMARGUMENT($Z36)</f>
        <v>8.849109389893666</v>
      </c>
      <c r="AC36" s="9" t="str">
        <f>IMDIV($V36,IMSUM(1,IMPRODUCT($V36,$M36)))</f>
        <v>25570.7865976736-2756.98987236818j</v>
      </c>
      <c r="AD36" s="18">
        <f>IMABS($AC36)</f>
        <v>25718.983657604054</v>
      </c>
      <c r="AE36" s="16">
        <f>180/PI()*IMARGUMENT($AC36)</f>
        <v>-6.153741987377649</v>
      </c>
      <c r="AF36" s="33">
        <f t="shared" si="5"/>
        <v>12859.491828802027</v>
      </c>
      <c r="AG36" s="9" t="str">
        <f>IMPRODUCT($AC36,COMPLEX(0,$B36,"j"),COMPLEX($D$19,0,"j"))</f>
        <v>103.93606954864+963.995943861164j</v>
      </c>
      <c r="AH36" s="12">
        <f>IMABS(AG36)</f>
        <v>969.5828413982975</v>
      </c>
      <c r="AI36" s="35">
        <f>180/PI()*IMARGUMENT($AG36)</f>
        <v>83.84625801262234</v>
      </c>
      <c r="AJ36" s="55" t="str">
        <f>IMDIV(COMPLEX(0,$B36,"j"),COMPLEX(1/$D$26,$B36,"j"))</f>
        <v>0.973508566987811+0.160591522158393j</v>
      </c>
      <c r="AK36" s="35">
        <f>IMABS(AJ36)</f>
        <v>0.9866653774141521</v>
      </c>
      <c r="AL36" s="13">
        <f>180/PI()*IMARGUMENT($AJ36)</f>
        <v>9.367242740602393</v>
      </c>
      <c r="AM36" s="36" t="str">
        <f>IMPRODUCT(AG36,AJ36)</f>
        <v>-53.6269218545391+955.149561506321j</v>
      </c>
      <c r="AN36" s="35">
        <f>IMABS(AM36)</f>
        <v>956.6538201425374</v>
      </c>
      <c r="AO36" s="35">
        <f>180/PI()*IMARGUMENT($AM36)</f>
        <v>93.21350075322475</v>
      </c>
      <c r="AP36" s="203">
        <f t="shared" si="6"/>
        <v>2875.4841878298917</v>
      </c>
      <c r="AQ36" s="136">
        <f t="shared" si="7"/>
        <v>4992160.048315784</v>
      </c>
      <c r="AR36" s="134">
        <f t="shared" si="8"/>
        <v>262.43871227969237</v>
      </c>
      <c r="AS36" s="134">
        <f t="shared" si="9"/>
        <v>1883.8979221577165</v>
      </c>
      <c r="AT36" s="140">
        <f t="shared" si="10"/>
        <v>1598.3734951313543</v>
      </c>
      <c r="AU36" s="106">
        <f>IF($D$40,IMDIV(COMPLEX($D$35,$B36,"j"),COMPLEX($D$34,$B36,"j")),1)</f>
        <v>1</v>
      </c>
      <c r="AV36" s="107">
        <f>IMABS(AU36)</f>
        <v>1</v>
      </c>
      <c r="AW36">
        <f t="shared" si="13"/>
        <v>3763.999999320577</v>
      </c>
      <c r="AX36" s="354">
        <f t="shared" si="14"/>
        <v>61.07552268810703</v>
      </c>
    </row>
    <row r="37" spans="1:50" ht="15" customHeight="1">
      <c r="A37" s="60">
        <v>0.013</v>
      </c>
      <c r="B37" s="124">
        <f t="shared" si="11"/>
        <v>0.08168140899333462</v>
      </c>
      <c r="C37" s="312" t="s">
        <v>116</v>
      </c>
      <c r="D37" s="314">
        <v>581000</v>
      </c>
      <c r="E37" s="307" t="s">
        <v>114</v>
      </c>
      <c r="F37" s="304" t="s">
        <v>159</v>
      </c>
      <c r="G37" s="305"/>
      <c r="H37" s="9" t="str">
        <f>IMDIV(COMPLEX(0,$D$14*$B37,"j"),COMPLEX(1,$B37*$D$20*$D$14,"j"))</f>
        <v>3.10006295456314E-011+1.96852195625116E-006j</v>
      </c>
      <c r="I37" s="10" t="str">
        <f>COMPLEX(1/$D$16,0,"j")</f>
        <v>1.72117039586919E-006</v>
      </c>
      <c r="J37" s="10" t="str">
        <f>IMPRODUCT(1/$D$17,IMDIV(COMPLEX(1/$D$15,0,"j"),COMPLEX(1/$D$15,$B37,"j")))</f>
        <v>2.11788678327387E-007-1.39085549143122E-006j</v>
      </c>
      <c r="K37" s="11" t="str">
        <f>IMSUM($H37,$I37,$J37)</f>
        <v>1.93299007482612E-006+5.7766646481994E-007j</v>
      </c>
      <c r="L37" s="116" t="str">
        <f>COMPLEX($D$18,0,"j")</f>
        <v>12.98</v>
      </c>
      <c r="M37" s="9" t="str">
        <f>IMPRODUCT($L37,$K37)</f>
        <v>2.5090211171243E-005+7.49811071336282E-006j</v>
      </c>
      <c r="N37" s="11">
        <f>IMABS($M37)</f>
        <v>2.6186644704646937E-05</v>
      </c>
      <c r="O37" s="18">
        <f t="shared" si="12"/>
        <v>38187.40473545836</v>
      </c>
      <c r="P37" s="18">
        <f t="shared" si="1"/>
        <v>19093.70236772918</v>
      </c>
      <c r="Q37" s="115">
        <f t="shared" si="2"/>
        <v>1559.6005122954887</v>
      </c>
      <c r="R37" s="9" t="str">
        <f>IMDIV(COMPLEX(1/$D$29,0,"j"),COMPLEX(1-$B37*$B37*$D$30*$D$30,$B37*2*$D$21*$D$30,"j"))</f>
        <v>0.202773955761987-1.0551378431443E-003j</v>
      </c>
      <c r="S37" s="11">
        <f>IMABS($R37)</f>
        <v>0.20277670095756142</v>
      </c>
      <c r="T37" s="34" t="str">
        <f>IMPRODUCT(IMDIV($D$23,COMPLEX(1,$B37*$D$31,"j")),$AU37)</f>
        <v>376399.999840523-7.74771034768034j</v>
      </c>
      <c r="U37" s="21">
        <f>IMABS($T37)</f>
        <v>376399.99992026127</v>
      </c>
      <c r="V37" s="9" t="str">
        <f>IMPRODUCT($R37,$T37)</f>
        <v>76324.1087415717-398.724917866542j</v>
      </c>
      <c r="W37" s="189">
        <f>IMABS($V37)</f>
        <v>76325.15022425694</v>
      </c>
      <c r="X37" s="10">
        <f t="shared" si="3"/>
        <v>38162.57511212847</v>
      </c>
      <c r="Y37" s="21">
        <f t="shared" si="4"/>
        <v>3117.1729059726185</v>
      </c>
      <c r="Z37" s="10" t="str">
        <f>IMPRODUCT($M37,$V37)</f>
        <v>1.91797768936129+0.56228252505454j</v>
      </c>
      <c r="AA37" s="18">
        <f>IMABS($Z37)</f>
        <v>1.9986995909514225</v>
      </c>
      <c r="AB37" s="13">
        <f>180/PI()*IMARGUMENT($Z37)</f>
        <v>16.339251856293714</v>
      </c>
      <c r="AC37" s="9" t="str">
        <f>IMDIV($V37,IMSUM(1,IMPRODUCT($V37,$M37)))</f>
        <v>25194.6565713204-4991.55291206448j</v>
      </c>
      <c r="AD37" s="18">
        <f>IMABS($AC37)</f>
        <v>25684.359447350787</v>
      </c>
      <c r="AE37" s="16">
        <f>180/PI()*IMARGUMENT($AC37)</f>
        <v>-11.20629474906801</v>
      </c>
      <c r="AF37" s="33">
        <f t="shared" si="5"/>
        <v>12842.179723675394</v>
      </c>
      <c r="AG37" s="9" t="str">
        <f>IMPRODUCT($AC37,COMPLEX(0,$B37,"j"),COMPLEX($D$19,0,"j"))</f>
        <v>203.858537461105+1028.96752392431j</v>
      </c>
      <c r="AH37" s="12">
        <f>IMABS(AG37)</f>
        <v>1048.9673343754353</v>
      </c>
      <c r="AI37" s="35">
        <f>180/PI()*IMARGUMENT($AG37)</f>
        <v>78.79370525093194</v>
      </c>
      <c r="AJ37" s="55" t="str">
        <f>IMDIV(COMPLEX(0,$B37,"j"),COMPLEX(1/$D$26,$B37,"j"))</f>
        <v>0.97733861141897+0.14882153758314j</v>
      </c>
      <c r="AK37" s="35">
        <f>IMABS(AJ37)</f>
        <v>0.9886043755815419</v>
      </c>
      <c r="AL37" s="13">
        <f>180/PI()*IMARGUMENT($AJ37)</f>
        <v>8.658047807863186</v>
      </c>
      <c r="AM37" s="36" t="str">
        <f>IMPRODUCT(AG37,AJ37)</f>
        <v>46.1062908946062+1035.98823202181j</v>
      </c>
      <c r="AN37" s="35">
        <f>IMABS(AM37)</f>
        <v>1037.0136966056589</v>
      </c>
      <c r="AO37" s="35">
        <f>180/PI()*IMARGUMENT($AM37)</f>
        <v>87.45175305879512</v>
      </c>
      <c r="AP37" s="203">
        <f t="shared" si="6"/>
        <v>3115.107870149049</v>
      </c>
      <c r="AQ37" s="136">
        <f t="shared" si="7"/>
        <v>4608147.736906878</v>
      </c>
      <c r="AR37" s="134">
        <f t="shared" si="8"/>
        <v>284.3086049696667</v>
      </c>
      <c r="AS37" s="134">
        <f t="shared" si="9"/>
        <v>2210.963533643431</v>
      </c>
      <c r="AT37" s="140">
        <f t="shared" si="10"/>
        <v>1598.3734951313543</v>
      </c>
      <c r="AU37" s="106">
        <f>IF($D$40,IMDIV(COMPLEX($D$35,$B37,"j"),COMPLEX($D$34,$B37,"j")),1)</f>
        <v>1</v>
      </c>
      <c r="AV37" s="107">
        <f>IMABS(AU37)</f>
        <v>1</v>
      </c>
      <c r="AW37">
        <f t="shared" si="13"/>
        <v>3763.999999202613</v>
      </c>
      <c r="AX37" s="354">
        <f t="shared" si="14"/>
        <v>55.29780026729315</v>
      </c>
    </row>
    <row r="38" spans="1:50" ht="15" customHeight="1">
      <c r="A38" s="60">
        <v>0.014</v>
      </c>
      <c r="B38" s="124">
        <f t="shared" si="11"/>
        <v>0.0879645943005142</v>
      </c>
      <c r="C38" s="312" t="s">
        <v>117</v>
      </c>
      <c r="D38" s="315">
        <v>445452.5304970931</v>
      </c>
      <c r="E38" s="307" t="s">
        <v>114</v>
      </c>
      <c r="F38" s="304" t="s">
        <v>160</v>
      </c>
      <c r="G38" s="305"/>
      <c r="H38" s="9" t="str">
        <f>IMDIV(COMPLEX(0,$D$14*$B38,"j"),COMPLEX(1,$B38*$D$20*$D$14,"j"))</f>
        <v>3.59533928443965E-011+2.11994672203264E-006j</v>
      </c>
      <c r="I38" s="10" t="str">
        <f>COMPLEX(1/$D$16,0,"j")</f>
        <v>1.72117039586919E-006</v>
      </c>
      <c r="J38" s="10" t="str">
        <f>IMPRODUCT(1/$D$17,IMDIV(COMPLEX(1/$D$15,0,"j"),COMPLEX(1/$D$15,$B38,"j")))</f>
        <v>1.83185561712404E-007-1.29555302686657E-006j</v>
      </c>
      <c r="K38" s="11" t="str">
        <f>IMSUM($H38,$I38,$J38)</f>
        <v>1.90439191097444E-006+8.2439369516607E-007j</v>
      </c>
      <c r="L38" s="116" t="str">
        <f>COMPLEX($D$18,0,"j")</f>
        <v>12.98</v>
      </c>
      <c r="M38" s="9" t="str">
        <f>IMPRODUCT($L38,$K38)</f>
        <v>2.47190070044482E-005+1.07006301632556E-005j</v>
      </c>
      <c r="N38" s="11">
        <f>IMABS($M38)</f>
        <v>2.6935715939561266E-05</v>
      </c>
      <c r="O38" s="18">
        <f t="shared" si="12"/>
        <v>37125.4286406871</v>
      </c>
      <c r="P38" s="18">
        <f t="shared" si="1"/>
        <v>18562.71432034355</v>
      </c>
      <c r="Q38" s="115">
        <f t="shared" si="2"/>
        <v>1632.8616343053657</v>
      </c>
      <c r="R38" s="9" t="str">
        <f>IMDIV(COMPLEX(1/$D$29,0,"j"),COMPLEX(1-$B38*$B38*$D$30*$D$30,$B38*2*$D$21*$D$30,"j"))</f>
        <v>0.202794993919021-1.1365430156708E-003j</v>
      </c>
      <c r="S38" s="11">
        <f>IMABS($R38)</f>
        <v>0.2027981787113539</v>
      </c>
      <c r="T38" s="34" t="str">
        <f>IMPRODUCT(IMDIV($D$23,COMPLEX(1,$B38*$D$31,"j")),$AU38)</f>
        <v>376399.999815045-8.3436880661679j</v>
      </c>
      <c r="U38" s="21">
        <f>IMABS($T38)</f>
        <v>376399.9999075226</v>
      </c>
      <c r="V38" s="9" t="str">
        <f>IMPRODUCT($R38,$T38)</f>
        <v>76332.0261906512-429.486849058921j</v>
      </c>
      <c r="W38" s="189">
        <f>IMABS($V38)</f>
        <v>76333.2344481994</v>
      </c>
      <c r="X38" s="10">
        <f t="shared" si="3"/>
        <v>38166.6172240997</v>
      </c>
      <c r="Y38" s="21">
        <f t="shared" si="4"/>
        <v>3357.3109999409476</v>
      </c>
      <c r="Z38" s="10" t="str">
        <f>IMPRODUCT($M38,$V38)</f>
        <v>1.89144767000219+0.806184293447893j</v>
      </c>
      <c r="AA38" s="18">
        <f>IMABS($Z38)</f>
        <v>2.0560903198446296</v>
      </c>
      <c r="AB38" s="13">
        <f>180/PI()*IMARGUMENT($Z38)</f>
        <v>23.084966617259287</v>
      </c>
      <c r="AC38" s="9" t="str">
        <f>IMDIV($V38,IMSUM(1,IMPRODUCT($V38,$M38)))</f>
        <v>24456.5997769484-6967.44875218879j</v>
      </c>
      <c r="AD38" s="18">
        <f>IMABS($AC38)</f>
        <v>25429.719124760493</v>
      </c>
      <c r="AE38" s="16">
        <f>180/PI()*IMARGUMENT($AC38)</f>
        <v>-15.901740117460184</v>
      </c>
      <c r="AF38" s="33">
        <f t="shared" si="5"/>
        <v>12714.859562380247</v>
      </c>
      <c r="AG38" s="9" t="str">
        <f>IMPRODUCT($AC38,COMPLEX(0,$B38,"j"),COMPLEX($D$19,0,"j"))</f>
        <v>306.444401397955+1075.65743867466j</v>
      </c>
      <c r="AH38" s="12">
        <f>IMABS(AG38)</f>
        <v>1118.4574629927959</v>
      </c>
      <c r="AI38" s="35">
        <f>180/PI()*IMARGUMENT($AG38)</f>
        <v>74.0982598825399</v>
      </c>
      <c r="AJ38" s="55" t="str">
        <f>IMDIV(COMPLEX(0,$B38,"j"),COMPLEX(1/$D$26,$B38,"j"))</f>
        <v>0.980399144896773+0.138624173874723j</v>
      </c>
      <c r="AK38" s="35">
        <f>IMABS(AJ38)</f>
        <v>0.990151071754595</v>
      </c>
      <c r="AL38" s="13">
        <f>180/PI()*IMARGUMENT($AJ38)</f>
        <v>8.048022963710505</v>
      </c>
      <c r="AM38" s="36" t="str">
        <f>IMPRODUCT(AG38,AJ38)</f>
        <v>151.325705280483+1097.05423506082j</v>
      </c>
      <c r="AN38" s="35">
        <f>IMABS(AM38)</f>
        <v>1107.4418556942467</v>
      </c>
      <c r="AO38" s="57">
        <f>180/PI()*IMARGUMENT($AM38)</f>
        <v>82.14628284625044</v>
      </c>
      <c r="AP38" s="203">
        <f t="shared" si="6"/>
        <v>3354.7315524682062</v>
      </c>
      <c r="AQ38" s="136">
        <f t="shared" si="7"/>
        <v>4278994.327127815</v>
      </c>
      <c r="AR38" s="134">
        <f t="shared" si="8"/>
        <v>306.1784976596411</v>
      </c>
      <c r="AS38" s="134">
        <f t="shared" si="9"/>
        <v>2564.1943940480032</v>
      </c>
      <c r="AT38" s="140">
        <f t="shared" si="10"/>
        <v>1598.3734951313543</v>
      </c>
      <c r="AU38" s="106">
        <f>IF($D$40,IMDIV(COMPLEX($D$35,$B38,"j"),COMPLEX($D$34,$B38,"j")),1)</f>
        <v>1</v>
      </c>
      <c r="AV38" s="107">
        <f>IMABS(AU38)</f>
        <v>1</v>
      </c>
      <c r="AW38">
        <f t="shared" si="13"/>
        <v>3763.999999075226</v>
      </c>
      <c r="AX38" s="354">
        <f t="shared" si="14"/>
        <v>50.416321405265855</v>
      </c>
    </row>
    <row r="39" spans="1:50" ht="15" customHeight="1">
      <c r="A39" s="60">
        <v>0.015</v>
      </c>
      <c r="B39" s="124">
        <f t="shared" si="11"/>
        <v>0.09424777960769379</v>
      </c>
      <c r="C39" s="205" t="s">
        <v>118</v>
      </c>
      <c r="D39" s="316">
        <f>0.5*SQRT($D$16*$D$17*$D$14*2*PI()/(($D$16+$D$17)*$D$15))*($D$15/($D$16*$D$14*2*PI())+1)</f>
        <v>0.39476435408906</v>
      </c>
      <c r="F39" s="345" t="s">
        <v>115</v>
      </c>
      <c r="G39" s="346"/>
      <c r="H39" s="9" t="str">
        <f>IMDIV(COMPLEX(0,$D$14*$B39,"j"),COMPLEX(1,$B39*$D$20*$D$14,"j"))</f>
        <v>4.12730274981887E-011+2.27137148779545E-006j</v>
      </c>
      <c r="I39" s="10" t="str">
        <f>COMPLEX(1/$D$16,0,"j")</f>
        <v>1.72117039586919E-006</v>
      </c>
      <c r="J39" s="10" t="str">
        <f>IMPRODUCT(1/$D$17,IMDIV(COMPLEX(1/$D$15,0,"j"),COMPLEX(1/$D$15,$B39,"j")))</f>
        <v>1.59979138689885E-007-1.21224535984787E-006j</v>
      </c>
      <c r="K39" s="11" t="str">
        <f>IMSUM($H39,$I39,$J39)</f>
        <v>1.88119080758657E-006+1.05912612794758E-006j</v>
      </c>
      <c r="L39" s="116" t="str">
        <f>COMPLEX($D$18,0,"j")</f>
        <v>12.98</v>
      </c>
      <c r="M39" s="9" t="str">
        <f>IMPRODUCT($L39,$K39)</f>
        <v>2.44178566824737E-005+1.37474571407596E-005j</v>
      </c>
      <c r="N39" s="11">
        <f>IMABS($M39)</f>
        <v>2.802185402151056E-05</v>
      </c>
      <c r="O39" s="18">
        <f t="shared" si="12"/>
        <v>35686.4324263614</v>
      </c>
      <c r="P39" s="18">
        <f t="shared" si="1"/>
        <v>17843.2162131807</v>
      </c>
      <c r="Q39" s="115">
        <f t="shared" si="2"/>
        <v>1681.6835091522832</v>
      </c>
      <c r="R39" s="9" t="str">
        <f>IMDIV(COMPLEX(1/$D$29,0,"j"),COMPLEX(1-$B39*$B39*$D$30*$D$30,$B39*2*$D$21*$D$30,"j"))</f>
        <v>0.202817595109641-1.21800177225287E-003j</v>
      </c>
      <c r="S39" s="11">
        <f>IMABS($R39)</f>
        <v>0.20282125237355053</v>
      </c>
      <c r="T39" s="34" t="str">
        <f>IMPRODUCT(IMDIV($D$23,COMPLEX(1,$B39*$D$31,"j")),$AU39)</f>
        <v>376399.999787679-8.93966578452993j</v>
      </c>
      <c r="U39" s="21">
        <f>IMABS($T39)</f>
        <v>376399.99989383953</v>
      </c>
      <c r="V39" s="9" t="str">
        <f>IMPRODUCT($R39,$T39)</f>
        <v>76340.5318676777-460.268988332875j</v>
      </c>
      <c r="W39" s="189">
        <f>IMABS($V39)</f>
        <v>76341.91937187283</v>
      </c>
      <c r="X39" s="10">
        <f t="shared" si="3"/>
        <v>38170.95968593642</v>
      </c>
      <c r="Y39" s="21">
        <f t="shared" si="4"/>
        <v>3597.5281958943</v>
      </c>
      <c r="Z39" s="10" t="str">
        <f>IMPRODUCT($M39,$V39)</f>
        <v>1.8703996943991+1.03824940776119j</v>
      </c>
      <c r="AA39" s="18">
        <f>IMABS($Z39)</f>
        <v>2.1392421203605516</v>
      </c>
      <c r="AB39" s="13">
        <f>180/PI()*IMARGUMENT($Z39)</f>
        <v>29.034433235941624</v>
      </c>
      <c r="AC39" s="9" t="str">
        <f>IMDIV($V39,IMSUM(1,IMPRODUCT($V39,$M39)))</f>
        <v>23467.457209675-8648.74065670358j</v>
      </c>
      <c r="AD39" s="200">
        <f>IMABS($AC39)</f>
        <v>25010.44307554036</v>
      </c>
      <c r="AE39" s="16">
        <f>180/PI()*IMARGUMENT($AC39)</f>
        <v>-20.230954414131933</v>
      </c>
      <c r="AF39" s="33">
        <f t="shared" si="5"/>
        <v>12505.22153777018</v>
      </c>
      <c r="AG39" s="9" t="str">
        <f>IMPRODUCT($AC39,COMPLEX(0,$B39,"j"),COMPLEX($D$19,0,"j"))</f>
        <v>407.56230164855+1105.87786752522j</v>
      </c>
      <c r="AH39" s="12">
        <f>IMABS(AG39)</f>
        <v>1178.5893634371523</v>
      </c>
      <c r="AI39" s="35">
        <f>180/PI()*IMARGUMENT($AG39)</f>
        <v>69.76904558586813</v>
      </c>
      <c r="AJ39" s="55" t="str">
        <f>IMDIV(COMPLEX(0,$B39,"j"),COMPLEX(1/$D$26,$B39,"j"))</f>
        <v>0.982882232160182+0.129710253503722j</v>
      </c>
      <c r="AK39" s="35">
        <f>IMABS(AJ39)</f>
        <v>0.9914041719501596</v>
      </c>
      <c r="AL39" s="13">
        <f>180/PI()*IMARGUMENT($AJ39)</f>
        <v>7.51783993414673</v>
      </c>
      <c r="AM39" s="36" t="str">
        <f>IMPRODUCT(AG39,AJ39)</f>
        <v>257.142046247816+1139.81271639512j</v>
      </c>
      <c r="AN39" s="35">
        <f>IMABS(AM39)</f>
        <v>1168.4584119276717</v>
      </c>
      <c r="AO39" s="57">
        <f>180/PI()*IMARGUMENT($AM39)</f>
        <v>77.28688552001482</v>
      </c>
      <c r="AP39" s="203">
        <f t="shared" si="6"/>
        <v>3594.355234787364</v>
      </c>
      <c r="AQ39" s="136">
        <f t="shared" si="7"/>
        <v>3993728.0386526273</v>
      </c>
      <c r="AR39" s="134">
        <f t="shared" si="8"/>
        <v>328.04839034961543</v>
      </c>
      <c r="AS39" s="134">
        <f t="shared" si="9"/>
        <v>2943.5905033714316</v>
      </c>
      <c r="AT39" s="140">
        <f t="shared" si="10"/>
        <v>1598.3734951313543</v>
      </c>
      <c r="AU39" s="106">
        <f>IF($D$40,IMDIV(COMPLEX($D$35,$B39,"j"),COMPLEX($D$34,$B39,"j")),1)</f>
        <v>1</v>
      </c>
      <c r="AV39" s="107">
        <f>IMABS(AU39)</f>
        <v>1</v>
      </c>
      <c r="AW39">
        <f t="shared" si="13"/>
        <v>3763.9999989383955</v>
      </c>
      <c r="AX39" s="354">
        <f t="shared" si="14"/>
        <v>46.25352696034595</v>
      </c>
    </row>
    <row r="40" spans="1:50" ht="15" customHeight="1" thickBot="1">
      <c r="A40" s="60">
        <v>0.02</v>
      </c>
      <c r="B40" s="124">
        <f t="shared" si="11"/>
        <v>0.12566370614359174</v>
      </c>
      <c r="C40" s="317"/>
      <c r="D40" s="318" t="b">
        <v>0</v>
      </c>
      <c r="E40" s="82"/>
      <c r="F40" s="347" t="s">
        <v>277</v>
      </c>
      <c r="G40" s="348"/>
      <c r="H40" s="9" t="str">
        <f>IMDIV(COMPLEX(0,$D$14*$B40,"j"),COMPLEX(1,$B40*$D$20*$D$14,"j"))</f>
        <v>7.33742710890477E-011+3.02849531628285E-006j</v>
      </c>
      <c r="I40" s="10" t="str">
        <f>COMPLEX(1/$D$16,0,"j")</f>
        <v>1.72117039586919E-006</v>
      </c>
      <c r="J40" s="10" t="str">
        <f>IMPRODUCT(1/$D$17,IMDIV(COMPLEX(1/$D$15,0,"j"),COMPLEX(1/$D$15,$B40,"j")))</f>
        <v>9.06672748588044E-008-9.16044297089648E-007j</v>
      </c>
      <c r="K40" s="11" t="str">
        <f>IMSUM($H40,$I40,$J40)</f>
        <v>1.81191104499908E-006+2.1124510191932E-006j</v>
      </c>
      <c r="L40" s="116" t="str">
        <f>COMPLEX($D$18,0,"j")</f>
        <v>12.98</v>
      </c>
      <c r="M40" s="9" t="str">
        <f>IMPRODUCT($L40,$K40)</f>
        <v>2.35186053640881E-005+2.74196142291277E-005j</v>
      </c>
      <c r="N40" s="11">
        <f>IMABS($M40)</f>
        <v>3.612423068725334E-05</v>
      </c>
      <c r="O40" s="18">
        <f t="shared" si="12"/>
        <v>27682.25041683327</v>
      </c>
      <c r="P40" s="18">
        <f t="shared" si="1"/>
        <v>13841.125208416635</v>
      </c>
      <c r="Q40" s="115">
        <f t="shared" si="2"/>
        <v>1739.327090887128</v>
      </c>
      <c r="R40" s="9" t="str">
        <f>IMDIV(COMPLEX(1/$D$29,0,"j"),COMPLEX(1-$B40*$B40*$D$30*$D$30,$B40*2*$D$21*$D$30,"j"))</f>
        <v>0.202954083941807-1.62623464696961E-003j</v>
      </c>
      <c r="S40" s="11">
        <f>IMABS($R40)</f>
        <v>0.2029605992003991</v>
      </c>
      <c r="T40" s="34" t="str">
        <f>IMPRODUCT(IMDIV($D$23,COMPLEX(1,$B40*$D$31,"j")),$AU40)</f>
        <v>376399.99962254-11.9195543741438j</v>
      </c>
      <c r="U40" s="21">
        <f>IMABS($T40)</f>
        <v>376399.99981126975</v>
      </c>
      <c r="V40" s="9" t="str">
        <f>IMPRODUCT($R40,$T40)</f>
        <v>76391.8977350968-614.533842744522j</v>
      </c>
      <c r="W40" s="189">
        <f>IMABS($V40)</f>
        <v>76394.36950072543</v>
      </c>
      <c r="X40" s="10">
        <f t="shared" si="3"/>
        <v>38197.184750362714</v>
      </c>
      <c r="Y40" s="21">
        <f t="shared" si="4"/>
        <v>4799.999799982063</v>
      </c>
      <c r="Z40" s="10" t="str">
        <f>IMPRODUCT($M40,$V40)</f>
        <v>1.81348117674432+2.08018338719694j</v>
      </c>
      <c r="AA40" s="18">
        <f>IMABS($Z40)</f>
        <v>2.759687827051476</v>
      </c>
      <c r="AB40" s="13">
        <f>180/PI()*IMARGUMENT($Z40)</f>
        <v>48.91843716948853</v>
      </c>
      <c r="AC40" s="9" t="str">
        <f>IMDIV($V40,IMSUM(1,IMPRODUCT($V40,$M40)))</f>
        <v>17450.9212096041-13120.9871028757j</v>
      </c>
      <c r="AD40" s="18">
        <f>IMABS($AC40)</f>
        <v>21833.344993785096</v>
      </c>
      <c r="AE40" s="16">
        <f>180/PI()*IMARGUMENT($AC40)</f>
        <v>-36.93874954366965</v>
      </c>
      <c r="AF40" s="33">
        <f t="shared" si="5"/>
        <v>10916.672496892548</v>
      </c>
      <c r="AG40" s="9" t="str">
        <f>IMPRODUCT($AC40,COMPLEX(0,$B40,"j"),COMPLEX($D$19,0,"j"))</f>
        <v>824.415933804816+1096.47371740933j</v>
      </c>
      <c r="AH40" s="12">
        <f>IMABS(AG40)</f>
        <v>1371.8295247153349</v>
      </c>
      <c r="AI40" s="35">
        <f>180/PI()*IMARGUMENT($AG40)</f>
        <v>53.06125045633028</v>
      </c>
      <c r="AJ40" s="55" t="str">
        <f>IMDIV(COMPLEX(0,$B40,"j"),COMPLEX(1/$D$26,$B40,"j"))</f>
        <v>0.990298601590108+9.80167397885923E-002j</v>
      </c>
      <c r="AK40" s="35">
        <f>IMABS(AJ40)</f>
        <v>0.9951374787385449</v>
      </c>
      <c r="AL40" s="13">
        <f>180/PI()*IMARGUMENT($AJ40)</f>
        <v>5.652551456154799</v>
      </c>
      <c r="AM40" s="36" t="str">
        <f>IMPRODUCT(AG40,AJ40)</f>
        <v>708.945167331171+1166.64295109208j</v>
      </c>
      <c r="AN40" s="35">
        <f>IMABS(AM40)</f>
        <v>1365.1589744843125</v>
      </c>
      <c r="AO40" s="57">
        <f>180/PI()*IMARGUMENT($AM40)</f>
        <v>58.71380191248504</v>
      </c>
      <c r="AP40" s="203">
        <f t="shared" si="6"/>
        <v>4792.473646383153</v>
      </c>
      <c r="AQ40" s="136">
        <f t="shared" si="7"/>
        <v>2995296.02898947</v>
      </c>
      <c r="AR40" s="134">
        <f t="shared" si="8"/>
        <v>437.3978537994873</v>
      </c>
      <c r="AS40" s="134">
        <f t="shared" si="9"/>
        <v>5233.049783771436</v>
      </c>
      <c r="AT40" s="140">
        <f t="shared" si="10"/>
        <v>1598.3734951313543</v>
      </c>
      <c r="AU40" s="106">
        <f>IF($D$40,IMDIV(COMPLEX($D$35,$B40,"j"),COMPLEX($D$34,$B40,"j")),1)</f>
        <v>1</v>
      </c>
      <c r="AV40" s="107">
        <f>IMABS(AU40)</f>
        <v>1</v>
      </c>
      <c r="AW40">
        <f t="shared" si="13"/>
        <v>3763.9999981126975</v>
      </c>
      <c r="AX40" s="354">
        <f t="shared" si="14"/>
        <v>32.36961811893476</v>
      </c>
    </row>
    <row r="41" spans="1:50" ht="15" customHeight="1" thickBot="1">
      <c r="A41" s="60">
        <v>0.03</v>
      </c>
      <c r="B41" s="124">
        <f t="shared" si="11"/>
        <v>0.18849555921538758</v>
      </c>
      <c r="D41" s="155"/>
      <c r="H41" s="9" t="str">
        <f>IMDIV(COMPLEX(0,$D$14*$B41,"j"),COMPLEX(1,$B41*$D$20*$D$14,"j"))</f>
        <v>1.65092109829222E-010+4.54274297109107E-006j</v>
      </c>
      <c r="I41" s="10" t="str">
        <f>COMPLEX(1/$D$16,0,"j")</f>
        <v>1.72117039586919E-006</v>
      </c>
      <c r="J41" s="10" t="str">
        <f>IMPRODUCT(1/$D$17,IMDIV(COMPLEX(1/$D$15,0,"j"),COMPLEX(1/$D$15,$B41,"j")))</f>
        <v>4.05149285279117E-008-6.14005482398993E-007j</v>
      </c>
      <c r="K41" s="11" t="str">
        <f>IMSUM($H41,$I41,$J41)</f>
        <v>1.76185041650693E-006+3.92873748869208E-006j</v>
      </c>
      <c r="L41" s="116" t="str">
        <f>COMPLEX($D$18,0,"j")</f>
        <v>12.98</v>
      </c>
      <c r="M41" s="9" t="str">
        <f>IMPRODUCT($L41,$K41)</f>
        <v>2.286881840626E-005+5.09950126032232E-005j</v>
      </c>
      <c r="N41" s="11">
        <f>IMABS($M41)</f>
        <v>5.588805029432847E-05</v>
      </c>
      <c r="O41" s="18">
        <f t="shared" si="12"/>
        <v>17892.912612510303</v>
      </c>
      <c r="P41" s="18">
        <f t="shared" si="1"/>
        <v>8946.456306255152</v>
      </c>
      <c r="Q41" s="115">
        <f t="shared" si="2"/>
        <v>1686.3672844435955</v>
      </c>
      <c r="R41" s="9" t="str">
        <f>IMDIV(COMPLEX(1/$D$29,0,"j"),COMPLEX(1-$B41*$B41*$D$30*$D$30,$B41*2*$D$21*$D$30,"j"))</f>
        <v>0.203345021885391-2.44895650604646E-003j</v>
      </c>
      <c r="S41" s="11">
        <f>IMABS($R41)</f>
        <v>0.20335976817831655</v>
      </c>
      <c r="T41" s="34" t="str">
        <f>IMPRODUCT(IMDIV($D$23,COMPLEX(1,$B41*$D$31,"j")),$AU41)</f>
        <v>376399.999150716-17.8793315388036j</v>
      </c>
      <c r="U41" s="21">
        <f>IMABS($T41)</f>
        <v>376399.999575358</v>
      </c>
      <c r="V41" s="9" t="str">
        <f>IMPRODUCT($R41,$T41)</f>
        <v>76539.0222792582-925.422899859082j</v>
      </c>
      <c r="W41" s="189">
        <f>IMABS($V41)</f>
        <v>76544.61665596325</v>
      </c>
      <c r="X41" s="10">
        <f t="shared" si="3"/>
        <v>38272.30832798163</v>
      </c>
      <c r="Y41" s="21">
        <f t="shared" si="4"/>
        <v>7214.160160746632</v>
      </c>
      <c r="Z41" s="10" t="str">
        <f>IMPRODUCT($M41,$V41)</f>
        <v>1.79754895393867+3.88194507752328j</v>
      </c>
      <c r="AA41" s="18">
        <f>IMABS($Z41)</f>
        <v>4.277929385428567</v>
      </c>
      <c r="AB41" s="13">
        <f>180/PI()*IMARGUMENT($Z41)</f>
        <v>65.1533307508507</v>
      </c>
      <c r="AC41" s="9" t="str">
        <f>IMDIV($V41,IMSUM(1,IMPRODUCT($V41,$M41)))</f>
        <v>9195.11113719574-13090.1513857757j</v>
      </c>
      <c r="AD41" s="18">
        <f>IMABS($AC41)</f>
        <v>15996.941336640157</v>
      </c>
      <c r="AE41" s="16">
        <f>180/PI()*IMARGUMENT($AC41)</f>
        <v>-54.91406958528172</v>
      </c>
      <c r="AF41" s="33">
        <f t="shared" si="5"/>
        <v>7998.470668320078</v>
      </c>
      <c r="AG41" s="9" t="str">
        <f>IMPRODUCT($AC41,COMPLEX(0,$B41,"j"),COMPLEX($D$19,0,"j"))</f>
        <v>1233.71770283794+866.618807926677j</v>
      </c>
      <c r="AH41" s="12">
        <f>IMABS(AG41)</f>
        <v>1507.676201492873</v>
      </c>
      <c r="AI41" s="35">
        <f>180/PI()*IMARGUMENT($AG41)</f>
        <v>35.08593041471826</v>
      </c>
      <c r="AJ41" s="55" t="str">
        <f>IMDIV(COMPLEX(0,$B41,"j"),COMPLEX(1/$D$26,$B41,"j"))</f>
        <v>0.995664902647514+6.56985866166923E-002j</v>
      </c>
      <c r="AK41" s="35">
        <f>IMABS(AJ41)</f>
        <v>0.9978300970844257</v>
      </c>
      <c r="AL41" s="13">
        <f>180/PI()*IMARGUMENT($AJ41)</f>
        <v>3.775168534644447</v>
      </c>
      <c r="AM41" s="36" t="str">
        <f>IMPRODUCT(AG41,AJ41)</f>
        <v>1171.43378567443+943.915440387265j</v>
      </c>
      <c r="AN41" s="35">
        <f>IMABS(AM41)</f>
        <v>1504.4046905075147</v>
      </c>
      <c r="AO41" s="57">
        <f>180/PI()*IMARGUMENT($AM41)</f>
        <v>38.861098949362635</v>
      </c>
      <c r="AP41" s="203">
        <f t="shared" si="6"/>
        <v>7188.710469574728</v>
      </c>
      <c r="AQ41" s="136">
        <f t="shared" si="7"/>
        <v>1996864.0193263136</v>
      </c>
      <c r="AR41" s="134">
        <f t="shared" si="8"/>
        <v>656.0967806992309</v>
      </c>
      <c r="AS41" s="134">
        <f t="shared" si="9"/>
        <v>11774.362013485726</v>
      </c>
      <c r="AT41" s="140">
        <f t="shared" si="10"/>
        <v>1598.3734951313543</v>
      </c>
      <c r="AU41" s="106">
        <f>IF($D$40,IMDIV(COMPLEX($D$35,$B41,"j"),COMPLEX($D$34,$B41,"j")),1)</f>
        <v>1</v>
      </c>
      <c r="AV41" s="107">
        <f>IMABS(AU41)</f>
        <v>1</v>
      </c>
      <c r="AW41">
        <f t="shared" si="13"/>
        <v>3763.99999575358</v>
      </c>
      <c r="AX41" s="354">
        <f t="shared" si="14"/>
        <v>19.91536392728873</v>
      </c>
    </row>
    <row r="42" spans="1:50" ht="15" customHeight="1" thickBot="1">
      <c r="A42" s="60">
        <v>0.04</v>
      </c>
      <c r="B42" s="124">
        <f t="shared" si="11"/>
        <v>0.25132741228718347</v>
      </c>
      <c r="C42" s="337" t="s">
        <v>152</v>
      </c>
      <c r="D42" s="338"/>
      <c r="E42" s="339"/>
      <c r="H42" s="9" t="str">
        <f>IMDIV(COMPLEX(0,$D$14*$B42,"j"),COMPLEX(1,$B42*$D$20*$D$14,"j"))</f>
        <v>2.93497083839347E-010+6.05699062189945E-006j</v>
      </c>
      <c r="I42" s="10" t="str">
        <f>COMPLEX(1/$D$16,0,"j")</f>
        <v>1.72117039586919E-006</v>
      </c>
      <c r="J42" s="10" t="str">
        <f>IMPRODUCT(1/$D$17,IMDIV(COMPLEX(1/$D$15,0,"j"),COMPLEX(1/$D$15,$B42,"j")))</f>
        <v>2.28329523907136E-008-4.61379165874454E-007j</v>
      </c>
      <c r="K42" s="11" t="str">
        <f>IMSUM($H42,$I42,$J42)</f>
        <v>1.74429684534374E-006+5.595611456025E-006j</v>
      </c>
      <c r="L42" s="116" t="str">
        <f>COMPLEX($D$18,0,"j")</f>
        <v>12.98</v>
      </c>
      <c r="M42" s="9" t="str">
        <f>IMPRODUCT($L42,$K42)</f>
        <v>2.26409730525617E-005+7.26310366992045E-005j</v>
      </c>
      <c r="N42" s="11">
        <f>IMABS($M42)</f>
        <v>7.607812532369614E-05</v>
      </c>
      <c r="O42" s="18">
        <f t="shared" si="12"/>
        <v>13144.382774223393</v>
      </c>
      <c r="P42" s="18">
        <f t="shared" si="1"/>
        <v>6572.191387111697</v>
      </c>
      <c r="Q42" s="115">
        <f t="shared" si="2"/>
        <v>1651.7718543788976</v>
      </c>
      <c r="R42" s="9" t="str">
        <f>IMDIV(COMPLEX(1/$D$29,0,"j"),COMPLEX(1-$B42*$B42*$D$30*$D$30,$B42*2*$D$21*$D$30,"j"))</f>
        <v>0.203894760480128-3.28332947633056E-003j</v>
      </c>
      <c r="S42" s="11">
        <f>IMABS($R42)</f>
        <v>0.20392119459168265</v>
      </c>
      <c r="T42" s="34" t="str">
        <f>IMPRODUCT(IMDIV($D$23,COMPLEX(1,$B42*$D$31,"j")),$AU42)</f>
        <v>376399.998490162-23.8391086765689j</v>
      </c>
      <c r="U42" s="21">
        <f>IMABS($T42)</f>
        <v>376399.9992450811</v>
      </c>
      <c r="V42" s="9" t="str">
        <f>IMPRODUCT($R42,$T42)</f>
        <v>76745.9092652239-1240.7058792872j</v>
      </c>
      <c r="W42" s="189">
        <f>IMABS($V42)</f>
        <v>76755.93749036538</v>
      </c>
      <c r="X42" s="10">
        <f t="shared" si="3"/>
        <v>38377.96874518269</v>
      </c>
      <c r="Y42" s="21">
        <f t="shared" si="4"/>
        <v>9645.435573565172</v>
      </c>
      <c r="Z42" s="10" t="str">
        <f>IMPRODUCT($M42,$V42)</f>
        <v>1.82771581781971+5.5460441639772j</v>
      </c>
      <c r="AA42" s="18">
        <f>IMABS($Z42)</f>
        <v>5.839447831729806</v>
      </c>
      <c r="AB42" s="13">
        <f>180/PI()*IMARGUMENT($Z42)</f>
        <v>71.7602061497235</v>
      </c>
      <c r="AC42" s="9" t="str">
        <f>IMDIV($V42,IMSUM(1,IMPRODUCT($V42,$M42)))</f>
        <v>5422.18746278385-11073.3889225803j</v>
      </c>
      <c r="AD42" s="18">
        <f>IMABS($AC42)</f>
        <v>12329.641483526375</v>
      </c>
      <c r="AE42" s="16">
        <f>180/PI()*IMARGUMENT($AC42)</f>
        <v>-63.91089101100241</v>
      </c>
      <c r="AF42" s="33">
        <f t="shared" si="5"/>
        <v>6164.8207417631875</v>
      </c>
      <c r="AG42" s="9" t="str">
        <f>IMPRODUCT($AC42,COMPLEX(0,$B42,"j"),COMPLEX($D$19,0,"j"))</f>
        <v>1391.52309158083+681.372171978736j</v>
      </c>
      <c r="AH42" s="12">
        <f>IMABS(AG42)</f>
        <v>1549.3884442416922</v>
      </c>
      <c r="AI42" s="35">
        <f>180/PI()*IMARGUMENT($AG42)</f>
        <v>26.089108988997644</v>
      </c>
      <c r="AJ42" s="55" t="str">
        <f>IMDIV(COMPLEX(0,$B42,"j"),COMPLEX(1/$D$26,$B42,"j"))</f>
        <v>0.997556874094194+4.93675707485666E-002j</v>
      </c>
      <c r="AK42" s="35">
        <f>IMABS(AJ42)</f>
        <v>0.9987776900262614</v>
      </c>
      <c r="AL42" s="13">
        <f>180/PI()*IMARGUMENT($AJ42)</f>
        <v>2.8331694801419958</v>
      </c>
      <c r="AM42" s="36" t="str">
        <f>IMPRODUCT(AG42,AJ42)</f>
        <v>1354.485736561+748.40360864576j</v>
      </c>
      <c r="AN42" s="35">
        <f>IMABS(AM42)</f>
        <v>1547.4946112931025</v>
      </c>
      <c r="AO42" s="57">
        <f>180/PI()*IMARGUMENT($AM42)</f>
        <v>28.922278469139577</v>
      </c>
      <c r="AP42" s="203">
        <f t="shared" si="6"/>
        <v>9584.947292766306</v>
      </c>
      <c r="AQ42" s="136">
        <f t="shared" si="7"/>
        <v>1497648.014494735</v>
      </c>
      <c r="AR42" s="134">
        <f t="shared" si="8"/>
        <v>874.7957075989746</v>
      </c>
      <c r="AS42" s="134">
        <f t="shared" si="9"/>
        <v>20932.199135085742</v>
      </c>
      <c r="AT42" s="139">
        <f t="shared" si="10"/>
        <v>1598.3734951313543</v>
      </c>
      <c r="AU42" s="106">
        <f>IF($D$40,IMDIV(COMPLEX($D$35,$B42,"j"),COMPLEX($D$34,$B42,"j")),1)</f>
        <v>1</v>
      </c>
      <c r="AV42" s="107">
        <f>IMABS(AU42)</f>
        <v>1</v>
      </c>
      <c r="AW42">
        <f t="shared" si="13"/>
        <v>3763.999992450811</v>
      </c>
      <c r="AX42" s="354">
        <f t="shared" si="14"/>
        <v>14.311743679791503</v>
      </c>
    </row>
    <row r="43" spans="1:50" ht="15" customHeight="1">
      <c r="A43" s="60">
        <v>0.05</v>
      </c>
      <c r="B43" s="124">
        <f t="shared" si="11"/>
        <v>0.3141592653589793</v>
      </c>
      <c r="C43" s="167" t="s">
        <v>153</v>
      </c>
      <c r="D43" s="177">
        <f>1/D22</f>
        <v>0.5</v>
      </c>
      <c r="E43" s="32" t="s">
        <v>17</v>
      </c>
      <c r="H43" s="9" t="str">
        <f>IMDIV(COMPLEX(0,$D$14*$B43,"j"),COMPLEX(1,$B43*$D$20*$D$14,"j"))</f>
        <v>4.58589192893304E-010+7.57123826737469E-006j</v>
      </c>
      <c r="I43" s="10" t="str">
        <f>COMPLEX(1/$D$16,0,"j")</f>
        <v>1.72117039586919E-006</v>
      </c>
      <c r="J43" s="10" t="str">
        <f>IMPRODUCT(1/$D$17,IMDIV(COMPLEX(1/$D$15,0,"j"),COMPLEX(1/$D$15,$B43,"j")))</f>
        <v>1.46259534265136E-008-3.6942825420531E-007j</v>
      </c>
      <c r="K43" s="11" t="str">
        <f>IMSUM($H43,$I43,$J43)</f>
        <v>1.7362549384886E-006+7.20181001316938E-006j</v>
      </c>
      <c r="L43" s="116" t="str">
        <f>COMPLEX($D$18,0,"j")</f>
        <v>12.98</v>
      </c>
      <c r="M43" s="9" t="str">
        <f>IMPRODUCT($L43,$K43)</f>
        <v>2.2536589101582E-005+9.34794939709386E-005j</v>
      </c>
      <c r="N43" s="11">
        <f>IMABS($M43)</f>
        <v>9.615775393277596E-05</v>
      </c>
      <c r="O43" s="18">
        <f t="shared" si="12"/>
        <v>10399.577351807755</v>
      </c>
      <c r="P43" s="18">
        <f t="shared" si="1"/>
        <v>5199.788675903877</v>
      </c>
      <c r="Q43" s="115">
        <f t="shared" si="2"/>
        <v>1633.5617904439018</v>
      </c>
      <c r="R43" s="9" t="str">
        <f>IMDIV(COMPLEX(1/$D$29,0,"j"),COMPLEX(1-$B43*$B43*$D$30*$D$30,$B43*2*$D$21*$D$30,"j"))</f>
        <v>0.204605755850922-4.13344961314994E-003j</v>
      </c>
      <c r="S43" s="11">
        <f>IMABS($R43)</f>
        <v>0.20464750360811038</v>
      </c>
      <c r="T43" s="34" t="str">
        <f>IMPRODUCT(IMDIV($D$23,COMPLEX(1,$B43*$D$31,"j")),$AU43)</f>
        <v>376399.997640878-29.7988857784749j</v>
      </c>
      <c r="U43" s="21">
        <f>IMABS($T43)</f>
        <v>376399.9988204391</v>
      </c>
      <c r="V43" s="9" t="str">
        <f>IMPRODUCT($R43,$T43)</f>
        <v>77013.4828474042-1561.92744818655j</v>
      </c>
      <c r="W43" s="189">
        <f>IMABS($V43)</f>
        <v>77029.32011669855</v>
      </c>
      <c r="X43" s="10">
        <f t="shared" si="3"/>
        <v>38514.66005834928</v>
      </c>
      <c r="Y43" s="21">
        <f t="shared" si="4"/>
        <v>12099.737309481832</v>
      </c>
      <c r="Z43" s="10" t="str">
        <f>IMPRODUCT($M43,$V43)</f>
        <v>1.88162940568948+7.16398088840864j</v>
      </c>
      <c r="AA43" s="18">
        <f>IMABS($Z43)</f>
        <v>7.4069664093905265</v>
      </c>
      <c r="AB43" s="13">
        <f>180/PI()*IMARGUMENT($Z43)</f>
        <v>75.28358254944979</v>
      </c>
      <c r="AC43" s="9" t="str">
        <f>IMDIV($V43,IMSUM(1,IMPRODUCT($V43,$M43)))</f>
        <v>3534.25097550894-9328.48403007617j</v>
      </c>
      <c r="AD43" s="18">
        <f>IMABS($AC43)</f>
        <v>9975.547316176291</v>
      </c>
      <c r="AE43" s="16">
        <f>180/PI()*IMARGUMENT($AC43)</f>
        <v>-69.24997566366923</v>
      </c>
      <c r="AF43" s="33">
        <f t="shared" si="5"/>
        <v>4987.773658088146</v>
      </c>
      <c r="AG43" s="9" t="str">
        <f>IMPRODUCT($AC43,COMPLEX(0,$B43,"j"),COMPLEX($D$19,0,"j"))</f>
        <v>1465.31484490085+555.158845030072j</v>
      </c>
      <c r="AH43" s="12">
        <f>IMABS(AG43)</f>
        <v>1566.9553082018406</v>
      </c>
      <c r="AI43" s="35">
        <f>180/PI()*IMARGUMENT($AG43)</f>
        <v>20.750024336330764</v>
      </c>
      <c r="AJ43" s="55" t="str">
        <f>IMDIV(COMPLEX(0,$B43,"j"),COMPLEX(1/$D$26,$B43,"j"))</f>
        <v>0.998435022983363+3.95288231999682E-002j</v>
      </c>
      <c r="AK43" s="35">
        <f>IMABS(AJ43)</f>
        <v>0.9992172051077598</v>
      </c>
      <c r="AL43" s="13">
        <f>180/PI()*IMARGUMENT($AJ43)</f>
        <v>2.2672006436867225</v>
      </c>
      <c r="AM43" s="36" t="str">
        <f>IMPRODUCT(AG43,AJ43)</f>
        <v>1441.07688501335+612.212205633392j</v>
      </c>
      <c r="AN43" s="35">
        <f>IMABS(AM43)</f>
        <v>1565.728703590211</v>
      </c>
      <c r="AO43" s="57">
        <f>180/PI()*IMARGUMENT($AM43)</f>
        <v>23.017224980017506</v>
      </c>
      <c r="AP43" s="203">
        <f t="shared" si="6"/>
        <v>11981.18411595788</v>
      </c>
      <c r="AQ43" s="136">
        <f t="shared" si="7"/>
        <v>1198118.411595788</v>
      </c>
      <c r="AR43" s="134">
        <f t="shared" si="8"/>
        <v>1093.4946344987181</v>
      </c>
      <c r="AS43" s="134">
        <f t="shared" si="9"/>
        <v>32706.56114857147</v>
      </c>
      <c r="AT43" s="139">
        <f t="shared" si="10"/>
        <v>1598.3734951313543</v>
      </c>
      <c r="AU43" s="106">
        <f>IF($D$40,IMDIV(COMPLEX($D$35,$B43,"j"),COMPLEX($D$34,$B43,"j")),1)</f>
        <v>1</v>
      </c>
      <c r="AV43" s="107">
        <f>IMABS(AU43)</f>
        <v>1</v>
      </c>
      <c r="AW43">
        <f t="shared" si="13"/>
        <v>3763.999988204391</v>
      </c>
      <c r="AX43" s="354">
        <f t="shared" si="14"/>
        <v>11.152779129796153</v>
      </c>
    </row>
    <row r="44" spans="1:50" ht="15" customHeight="1" thickBot="1">
      <c r="A44" s="60">
        <v>0.06</v>
      </c>
      <c r="B44" s="124">
        <f t="shared" si="11"/>
        <v>0.37699111843077515</v>
      </c>
      <c r="C44" s="168" t="s">
        <v>150</v>
      </c>
      <c r="D44" s="178">
        <f>2*PI()*D43</f>
        <v>3.141592653589793</v>
      </c>
      <c r="E44" s="83" t="s">
        <v>151</v>
      </c>
      <c r="H44" s="9" t="str">
        <f>IMDIV(COMPLEX(0,$D$14*$B44,"j"),COMPLEX(1,$B44*$D$20*$D$14,"j"))</f>
        <v>6.60368436700369E-010+9.08548590618354E-006j</v>
      </c>
      <c r="I44" s="10" t="str">
        <f>COMPLEX(1/$D$16,0,"j")</f>
        <v>1.72117039586919E-006</v>
      </c>
      <c r="J44" s="10" t="str">
        <f>IMPRODUCT(1/$D$17,IMDIV(COMPLEX(1/$D$15,0,"j"),COMPLEX(1/$D$15,$B44,"j")))</f>
        <v>1.01617713329796E-008-3.08004162220646E-007j</v>
      </c>
      <c r="K44" s="11" t="str">
        <f>IMSUM($H44,$I44,$J44)</f>
        <v>1.73199253563887E-006+8.7774817439629E-006j</v>
      </c>
      <c r="L44" s="116" t="str">
        <f>COMPLEX($D$18,0,"j")</f>
        <v>12.98</v>
      </c>
      <c r="M44" s="9" t="str">
        <f>IMPRODUCT($L44,$K44)</f>
        <v>2.24812631125925E-005+1.13931713036638E-004j</v>
      </c>
      <c r="N44" s="11">
        <f>IMABS($M44)</f>
        <v>0.00011612855990926798</v>
      </c>
      <c r="O44" s="18">
        <f t="shared" si="12"/>
        <v>8611.146136499985</v>
      </c>
      <c r="P44" s="18">
        <f t="shared" si="1"/>
        <v>4305.5730682499925</v>
      </c>
      <c r="Q44" s="115">
        <f t="shared" si="2"/>
        <v>1623.1628064849888</v>
      </c>
      <c r="R44" s="9" t="str">
        <f>IMDIV(COMPLEX(1/$D$29,0,"j"),COMPLEX(1-$B44*$B44*$D$30*$D$30,$B44*2*$D$21*$D$30,"j"))</f>
        <v>0.205481210291272-5.00360089994979E-003j</v>
      </c>
      <c r="S44" s="11">
        <f>IMABS($R44)</f>
        <v>0.20554212172869074</v>
      </c>
      <c r="T44" s="34" t="str">
        <f>IMPRODUCT(IMDIV($D$23,COMPLEX(1,$B44*$D$31,"j")),$AU44)</f>
        <v>376399.996602864-35.7586628355567j</v>
      </c>
      <c r="U44" s="21">
        <f>IMABS($T44)</f>
        <v>376399.998301432</v>
      </c>
      <c r="V44" s="9" t="str">
        <f>IMPRODUCT($R44,$T44)</f>
        <v>77342.9479335096-1890.70309506104j</v>
      </c>
      <c r="W44" s="189">
        <f>IMABS($V44)</f>
        <v>77366.0542695519</v>
      </c>
      <c r="X44" s="10">
        <f t="shared" si="3"/>
        <v>38683.02713477595</v>
      </c>
      <c r="Y44" s="21">
        <f t="shared" si="4"/>
        <v>14583.157663827209</v>
      </c>
      <c r="Z44" s="10" t="str">
        <f>IMPRODUCT($M44,$V44)</f>
        <v>1.95417820486075+8.76930915562039j</v>
      </c>
      <c r="AA44" s="18">
        <f>IMABS($Z44)</f>
        <v>8.984408468185336</v>
      </c>
      <c r="AB44" s="13">
        <f>180/PI()*IMARGUMENT($Z44)</f>
        <v>77.43730853530495</v>
      </c>
      <c r="AC44" s="9" t="str">
        <f>IMDIV($V44,IMSUM(1,IMPRODUCT($V44,$M44)))</f>
        <v>2474.71399629848-7986.05688767353j</v>
      </c>
      <c r="AD44" s="18">
        <f>IMABS($AC44)</f>
        <v>8360.70056733486</v>
      </c>
      <c r="AE44" s="16">
        <f>180/PI()*IMARGUMENT($AC44)</f>
        <v>-72.78287148213394</v>
      </c>
      <c r="AF44" s="33">
        <f t="shared" si="5"/>
        <v>4180.35028366743</v>
      </c>
      <c r="AG44" s="9" t="str">
        <f>IMPRODUCT($AC44,COMPLEX(0,$B44,"j"),COMPLEX($D$19,0,"j"))</f>
        <v>1505.33625896792+466.472598630428j</v>
      </c>
      <c r="AH44" s="12">
        <f>IMABS(AG44)</f>
        <v>1575.9549288721923</v>
      </c>
      <c r="AI44" s="35">
        <f>180/PI()*IMARGUMENT($AG44)</f>
        <v>17.21712851786604</v>
      </c>
      <c r="AJ44" s="55" t="str">
        <f>IMDIV(COMPLEX(0,$B44,"j"),COMPLEX(1/$D$26,$B44,"j"))</f>
        <v>0.998912690467371+3.29564453576091E-002j</v>
      </c>
      <c r="AK44" s="35">
        <f>IMABS(AJ44)</f>
        <v>0.9994561973730368</v>
      </c>
      <c r="AL44" s="13">
        <f>180/PI()*IMARGUMENT($AJ44)</f>
        <v>1.8896351709821229</v>
      </c>
      <c r="AM44" s="36" t="str">
        <f>IMPRODUCT(AG44,AJ44)</f>
        <v>1488.32621379615+515.575930690731j</v>
      </c>
      <c r="AN44" s="35">
        <f>IMABS(AM44)</f>
        <v>1575.0979204418995</v>
      </c>
      <c r="AO44" s="57">
        <f>180/PI()*IMARGUMENT($AM44)</f>
        <v>19.106763688848122</v>
      </c>
      <c r="AP44" s="203">
        <f t="shared" si="6"/>
        <v>14377.420939149457</v>
      </c>
      <c r="AQ44" s="136">
        <f t="shared" si="7"/>
        <v>998432.0096631568</v>
      </c>
      <c r="AR44" s="134">
        <f t="shared" si="8"/>
        <v>1312.1935613984617</v>
      </c>
      <c r="AS44" s="134">
        <f t="shared" si="9"/>
        <v>47097.448053942906</v>
      </c>
      <c r="AT44" s="139">
        <f t="shared" si="10"/>
        <v>1598.3734951313543</v>
      </c>
      <c r="AU44" s="106">
        <f>IF($D$40,IMDIV(COMPLEX($D$35,$B44,"j"),COMPLEX($D$34,$B44,"j")),1)</f>
        <v>1</v>
      </c>
      <c r="AV44" s="107">
        <f>IMABS(AU44)</f>
        <v>1</v>
      </c>
      <c r="AW44">
        <f t="shared" si="13"/>
        <v>3763.99998301432</v>
      </c>
      <c r="AX44" s="3">
        <f t="shared" si="14"/>
        <v>9.130422616567872</v>
      </c>
    </row>
    <row r="45" spans="1:50" ht="15" customHeight="1" thickBot="1">
      <c r="A45" s="60">
        <v>0.07</v>
      </c>
      <c r="B45" s="124">
        <f t="shared" si="11"/>
        <v>0.4398229715025711</v>
      </c>
      <c r="C45" s="32"/>
      <c r="D45" s="170" t="s">
        <v>134</v>
      </c>
      <c r="E45" s="183" t="s">
        <v>154</v>
      </c>
      <c r="H45" s="9" t="str">
        <f>IMDIV(COMPLEX(0,$D$14*$B45,"j"),COMPLEX(1,$B45*$D$20*$D$14,"j"))</f>
        <v>8.98834814905215E-010+1.05997335369927E-005j</v>
      </c>
      <c r="I45" s="10" t="str">
        <f>COMPLEX(1/$D$16,0,"j")</f>
        <v>1.72117039586919E-006</v>
      </c>
      <c r="J45" s="10" t="str">
        <f>IMPRODUCT(1/$D$17,IMDIV(COMPLEX(1/$D$15,0,"j"),COMPLEX(1/$D$15,$B45,"j")))</f>
        <v>7.46794546071464E-009-2.64079746669473E-007j</v>
      </c>
      <c r="K45" s="11" t="str">
        <f>IMSUM($H45,$I45,$J45)</f>
        <v>1.72953717614481E-006+1.03356537903232E-005j</v>
      </c>
      <c r="L45" s="116" t="str">
        <f>COMPLEX($D$18,0,"j")</f>
        <v>12.98</v>
      </c>
      <c r="M45" s="9" t="str">
        <f>IMPRODUCT($L45,$K45)</f>
        <v>2.24493925463596E-005+1.34156786198395E-004j</v>
      </c>
      <c r="N45" s="11">
        <f>IMABS($M45)</f>
        <v>0.0001360221250708223</v>
      </c>
      <c r="O45" s="18">
        <f t="shared" si="12"/>
        <v>7351.745162629481</v>
      </c>
      <c r="P45" s="18">
        <f t="shared" si="1"/>
        <v>3675.8725813147403</v>
      </c>
      <c r="Q45" s="115">
        <f t="shared" si="2"/>
        <v>1616.7332015786756</v>
      </c>
      <c r="R45" s="9" t="str">
        <f>IMDIV(COMPLEX(1/$D$29,0,"j"),COMPLEX(1-$B45*$B45*$D$30*$D$30,$B45*2*$D$21*$D$30,"j"))</f>
        <v>0.206525106699889-5.89830986086996E-003j</v>
      </c>
      <c r="S45" s="11">
        <f>IMABS($R45)</f>
        <v>0.20660931672268645</v>
      </c>
      <c r="T45" s="34" t="str">
        <f>IMPRODUCT(IMDIV($D$23,COMPLEX(1,$B45*$D$31,"j")),$AU45)</f>
        <v>376399.995376121-41.7184398388496j</v>
      </c>
      <c r="U45" s="21">
        <f>IMABS($T45)</f>
        <v>376399.99768806074</v>
      </c>
      <c r="V45" s="9" t="str">
        <f>IMPRODUCT($R45,$T45)</f>
        <v>77735.803138606-2228.73970959745j</v>
      </c>
      <c r="W45" s="189">
        <f>IMABS($V45)</f>
        <v>77767.74633675096</v>
      </c>
      <c r="X45" s="10">
        <f t="shared" si="3"/>
        <v>38883.87316837548</v>
      </c>
      <c r="Y45" s="21">
        <f t="shared" si="4"/>
        <v>17102.020640444</v>
      </c>
      <c r="Z45" s="10" t="str">
        <f>IMPRODUCT($M45,$V45)</f>
        <v>2.04412211627744+10.3787516690021j</v>
      </c>
      <c r="AA45" s="18">
        <f>IMABS($Z45)</f>
        <v>10.578134118693542</v>
      </c>
      <c r="AB45" s="13">
        <f>180/PI()*IMARGUMENT($Z45)</f>
        <v>78.85805319482716</v>
      </c>
      <c r="AC45" s="9" t="str">
        <f>IMDIV($V45,IMSUM(1,IMPRODUCT($V45,$M45)))</f>
        <v>1825.06679684776-6954.60101952493j</v>
      </c>
      <c r="AD45" s="18">
        <f>IMABS($AC45)</f>
        <v>7190.086519210554</v>
      </c>
      <c r="AE45" s="16">
        <f>180/PI()*IMARGUMENT($AC45)</f>
        <v>-75.2956729924712</v>
      </c>
      <c r="AF45" s="33">
        <f t="shared" si="5"/>
        <v>3595.043259605277</v>
      </c>
      <c r="AG45" s="9" t="str">
        <f>IMPRODUCT($AC45,COMPLEX(0,$B45,"j"),COMPLEX($D$19,0,"j"))</f>
        <v>1529.39664301113+401.35315089013j</v>
      </c>
      <c r="AH45" s="12">
        <f>IMABS(AG45)</f>
        <v>1581.1826091198793</v>
      </c>
      <c r="AI45" s="35">
        <f>180/PI()*IMARGUMENT($AG45)</f>
        <v>14.704327007528818</v>
      </c>
      <c r="AJ45" s="55" t="str">
        <f>IMDIV(COMPLEX(0,$B45,"j"),COMPLEX(1/$D$26,$B45,"j"))</f>
        <v>0.999200929835704+2.82565328936336E-002j</v>
      </c>
      <c r="AK45" s="35">
        <f>IMABS(AJ45)</f>
        <v>0.9996003850718068</v>
      </c>
      <c r="AL45" s="13">
        <f>180/PI()*IMARGUMENT($AJ45)</f>
        <v>1.6198430826352228</v>
      </c>
      <c r="AM45" s="36" t="str">
        <f>IMPRODUCT(AG45,AJ45)</f>
        <v>1516.83369927424+444.247888112564j</v>
      </c>
      <c r="AN45" s="35">
        <f>IMABS(AM45)</f>
        <v>1580.5507449450802</v>
      </c>
      <c r="AO45" s="57">
        <f>180/PI()*IMARGUMENT($AM45)</f>
        <v>16.324170090163975</v>
      </c>
      <c r="AP45" s="203">
        <f t="shared" si="6"/>
        <v>16773.657762341038</v>
      </c>
      <c r="AQ45" s="136">
        <f t="shared" si="7"/>
        <v>855798.8654255628</v>
      </c>
      <c r="AR45" s="134">
        <f t="shared" si="8"/>
        <v>1530.8924882982058</v>
      </c>
      <c r="AS45" s="134">
        <f t="shared" si="9"/>
        <v>64104.85985120009</v>
      </c>
      <c r="AT45" s="139">
        <f t="shared" si="10"/>
        <v>1598.3734951313543</v>
      </c>
      <c r="AU45" s="106">
        <f>IF($D$40,IMDIV(COMPLEX($D$35,$B45,"j"),COMPLEX($D$34,$B45,"j")),1)</f>
        <v>1</v>
      </c>
      <c r="AV45" s="107">
        <f>IMABS(AU45)</f>
        <v>1</v>
      </c>
      <c r="AW45">
        <f t="shared" si="13"/>
        <v>3763.9999768806074</v>
      </c>
      <c r="AX45" s="3">
        <f t="shared" si="14"/>
        <v>7.726362182838445</v>
      </c>
    </row>
    <row r="46" spans="1:50" ht="15" customHeight="1">
      <c r="A46" s="60">
        <v>0.08</v>
      </c>
      <c r="B46" s="124">
        <f t="shared" si="11"/>
        <v>0.5026548245743669</v>
      </c>
      <c r="C46" s="11"/>
      <c r="D46" s="66">
        <v>0.1</v>
      </c>
      <c r="E46" s="171">
        <f aca="true" t="shared" si="16" ref="E46:E51">$D$44/(2*D46)</f>
        <v>15.707963267948966</v>
      </c>
      <c r="H46" s="9" t="str">
        <f>IMDIV(COMPLEX(0,$D$14*$B46,"j"),COMPLEX(1,$B46*$D$20*$D$14,"j"))</f>
        <v>1.17398832708789E-009+1.21139811584688E-005j</v>
      </c>
      <c r="I46" s="10" t="str">
        <f>COMPLEX(1/$D$16,0,"j")</f>
        <v>1.72117039586919E-006</v>
      </c>
      <c r="J46" s="10" t="str">
        <f>IMPRODUCT(1/$D$17,IMDIV(COMPLEX(1/$D$15,0,"j"),COMPLEX(1/$D$15,$B46,"j")))</f>
        <v>5.71871675647015E-009-2.31113061668326E-007j</v>
      </c>
      <c r="K46" s="11" t="str">
        <f>IMSUM($H46,$I46,$J46)</f>
        <v>1.72806310095275E-006+1.18828680968005E-005j</v>
      </c>
      <c r="L46" s="116" t="str">
        <f>COMPLEX($D$18,0,"j")</f>
        <v>12.98</v>
      </c>
      <c r="M46" s="9" t="str">
        <f>IMPRODUCT($L46,$K46)</f>
        <v>2.24302590503667E-005+1.5423962789647E-004j</v>
      </c>
      <c r="N46" s="11">
        <f>IMABS($M46)</f>
        <v>0.00015586205226002922</v>
      </c>
      <c r="O46" s="18">
        <f t="shared" si="12"/>
        <v>6415.92989120707</v>
      </c>
      <c r="P46" s="18">
        <f aca="true" t="shared" si="17" ref="P46:P76">$O46*$D$19</f>
        <v>3207.964945603535</v>
      </c>
      <c r="Q46" s="115">
        <f aca="true" t="shared" si="18" ref="Q46:Q76">+$O46*$D$19*$B46</f>
        <v>1612.4990569730635</v>
      </c>
      <c r="R46" s="9" t="str">
        <f>IMDIV(COMPLEX(1/$D$29,0,"j"),COMPLEX(1-$B46*$B46*$D$30*$D$30,$B46*2*$D$21*$D$30,"j"))</f>
        <v>0.207742251953991-6.82240564709331E-003j</v>
      </c>
      <c r="S46" s="11">
        <f>IMABS($R46)</f>
        <v>0.2078542481300995</v>
      </c>
      <c r="T46" s="34" t="str">
        <f>IMPRODUCT(IMDIV($D$23,COMPLEX(1,$B46*$D$31,"j")),$AU46)</f>
        <v>376399.993960647-47.6782167793885j</v>
      </c>
      <c r="U46" s="21">
        <f>IMABS($T46)</f>
        <v>376399.9969803234</v>
      </c>
      <c r="V46" s="9" t="str">
        <f>IMPRODUCT($R46,$T46)</f>
        <v>78193.857100718-2577.85822448591j</v>
      </c>
      <c r="W46" s="189">
        <f>IMABS($V46)</f>
        <v>78236.33836851681</v>
      </c>
      <c r="X46" s="10">
        <f aca="true" t="shared" si="19" ref="X46:X76">$W46*$D$19</f>
        <v>39118.169184258404</v>
      </c>
      <c r="Y46" s="21">
        <f aca="true" t="shared" si="20" ref="Y46:Y76">$W46*$D$19*$B46</f>
        <v>19662.936468983815</v>
      </c>
      <c r="Z46" s="10" t="str">
        <f>IMPRODUCT($M46,$V46)</f>
        <v>2.15151636423102+12.0027693952342j</v>
      </c>
      <c r="AA46" s="18">
        <f>IMABS($Z46)</f>
        <v>12.194076259427144</v>
      </c>
      <c r="AB46" s="13">
        <f>180/PI()*IMARGUMENT($Z46)</f>
        <v>79.83756268780976</v>
      </c>
      <c r="AC46" s="9" t="str">
        <f>IMDIV($V46,IMSUM(1,IMPRODUCT($V46,$M46)))</f>
        <v>1399.28468449175-6147.24703022462j</v>
      </c>
      <c r="AD46" s="18">
        <f>IMABS($AC46)</f>
        <v>6304.4939272600295</v>
      </c>
      <c r="AE46" s="16">
        <f>180/PI()*IMARGUMENT($AC46)</f>
        <v>-77.17638722185048</v>
      </c>
      <c r="AF46" s="33">
        <f aca="true" t="shared" si="21" ref="AF46:AF76">$AD46*$D$19</f>
        <v>3152.2469636300148</v>
      </c>
      <c r="AG46" s="9" t="str">
        <f>IMPRODUCT($AC46,COMPLEX(0,$B46,"j"),COMPLEX($D$19,0,"j"))</f>
        <v>1544.97168879643+351.6785988064j</v>
      </c>
      <c r="AH46" s="12">
        <f>IMABS(AG46)</f>
        <v>1584.4921445185287</v>
      </c>
      <c r="AI46" s="35">
        <f>180/PI()*IMARGUMENT($AG46)</f>
        <v>12.823612778149515</v>
      </c>
      <c r="AJ46" s="55" t="str">
        <f>IMDIV(COMPLEX(0,$B46,"j"),COMPLEX(1/$D$26,$B46,"j"))</f>
        <v>0.999388097307058+2.47290975985109E-002j</v>
      </c>
      <c r="AK46" s="35">
        <f>IMABS(AJ46)</f>
        <v>0.9996940018360909</v>
      </c>
      <c r="AL46" s="13">
        <f>180/PI()*IMARGUMENT($AJ46)</f>
        <v>1.4174511988885816</v>
      </c>
      <c r="AM46" s="36" t="str">
        <f>IMPRODUCT(AG46,AJ46)</f>
        <v>1535.32962206635+389.669161403923j</v>
      </c>
      <c r="AN46" s="35">
        <f>IMABS(AM46)</f>
        <v>1584.0072928315824</v>
      </c>
      <c r="AO46" s="57">
        <f>180/PI()*IMARGUMENT($AM46)</f>
        <v>14.24106397703804</v>
      </c>
      <c r="AP46" s="203">
        <f aca="true" t="shared" si="22" ref="AP46:AP76">$B46*$D$19*$D$23/$D$29*D$35/D$34</f>
        <v>19169.894585532613</v>
      </c>
      <c r="AQ46" s="134">
        <f aca="true" t="shared" si="23" ref="AQ46:AQ76">$D$23/$B46</f>
        <v>748824.0072473675</v>
      </c>
      <c r="AR46" s="134">
        <f aca="true" t="shared" si="24" ref="AR46:AR76">$B46*$D$19/($D$18*(1/$D$16+1/$D$17))</f>
        <v>1749.5914151979491</v>
      </c>
      <c r="AS46" s="134">
        <f aca="true" t="shared" si="25" ref="AS46:AS76">$B46*$B46*$D$19*$D$17*$D$15/$D$18</f>
        <v>83728.79654034297</v>
      </c>
      <c r="AT46" s="139">
        <f aca="true" t="shared" si="26" ref="AT46:AT89">$D$19/($D$14*$D$18)</f>
        <v>1598.3734951313543</v>
      </c>
      <c r="AU46" s="106">
        <f>IF($D$40,IMDIV(COMPLEX($D$35,$B46,"j"),COMPLEX($D$34,$B46,"j")),1)</f>
        <v>1</v>
      </c>
      <c r="AV46" s="107">
        <f>IMABS(AU46)</f>
        <v>1</v>
      </c>
      <c r="AW46">
        <f t="shared" si="13"/>
        <v>3763.999969803234</v>
      </c>
      <c r="AX46" s="3">
        <f t="shared" si="14"/>
        <v>6.695264332574635</v>
      </c>
    </row>
    <row r="47" spans="1:50" ht="15" customHeight="1">
      <c r="A47" s="60">
        <v>0.09</v>
      </c>
      <c r="B47" s="124">
        <f t="shared" si="11"/>
        <v>0.5654866776461628</v>
      </c>
      <c r="C47" s="11"/>
      <c r="D47" s="66">
        <v>1</v>
      </c>
      <c r="E47" s="172">
        <f t="shared" si="16"/>
        <v>1.5707963267948966</v>
      </c>
      <c r="H47" s="9" t="str">
        <f>IMDIV(COMPLEX(0,$D$14*$B47,"j"),COMPLEX(1,$B47*$D$20*$D$14,"j"))</f>
        <v>1.48582897276388E-009+1.36282287692788E-005j</v>
      </c>
      <c r="I47" s="10" t="str">
        <f>COMPLEX(1/$D$16,0,"j")</f>
        <v>1.72117039586919E-006</v>
      </c>
      <c r="J47" s="10" t="str">
        <f>IMPRODUCT(1/$D$17,IMDIV(COMPLEX(1/$D$15,0,"j"),COMPLEX(1/$D$15,$B47,"j")))</f>
        <v>4.51907260950591E-009-2.05460218621699E-007j</v>
      </c>
      <c r="K47" s="11" t="str">
        <f>IMSUM($H47,$I47,$J47)</f>
        <v>1.72717529745146E-006+1.34227685506571E-005j</v>
      </c>
      <c r="L47" s="116" t="str">
        <f>COMPLEX($D$18,0,"j")</f>
        <v>12.98</v>
      </c>
      <c r="M47" s="9" t="str">
        <f>IMPRODUCT($L47,$K47)</f>
        <v>2.241873536092E-005+1.74227535787529E-004j</v>
      </c>
      <c r="N47" s="11">
        <f>IMABS($M47)</f>
        <v>0.00017566398014896983</v>
      </c>
      <c r="O47" s="18">
        <f t="shared" si="12"/>
        <v>5692.686680285631</v>
      </c>
      <c r="P47" s="18">
        <f t="shared" si="17"/>
        <v>2846.3433401428156</v>
      </c>
      <c r="Q47" s="115">
        <f t="shared" si="18"/>
        <v>1609.5692388576426</v>
      </c>
      <c r="R47" s="9" t="str">
        <f>IMDIV(COMPLEX(1/$D$29,0,"j"),COMPLEX(1-$B47*$B47*$D$30*$D$30,$B47*2*$D$21*$D$30,"j"))</f>
        <v>0.209138330042314-7.78108710368263E-003j</v>
      </c>
      <c r="S47" s="11">
        <f>IMABS($R47)</f>
        <v>0.20928302943478946</v>
      </c>
      <c r="T47" s="34" t="str">
        <f>IMPRODUCT(IMDIV($D$23,COMPLEX(1,$B47*$D$31,"j")),$AU47)</f>
        <v>376399.992356444-53.637993648209j</v>
      </c>
      <c r="U47" s="21">
        <f>IMABS($T47)</f>
        <v>376399.99617822195</v>
      </c>
      <c r="V47" s="9" t="str">
        <f>IMPRODUCT($R47,$T47)</f>
        <v>78719.2484674658-2940.01888676937j</v>
      </c>
      <c r="W47" s="189">
        <f>IMABS($V47)</f>
        <v>78774.13147942146</v>
      </c>
      <c r="X47" s="10">
        <f t="shared" si="19"/>
        <v>39387.06573971073</v>
      </c>
      <c r="Y47" s="21">
        <f t="shared" si="20"/>
        <v>22272.860947380024</v>
      </c>
      <c r="Z47" s="10" t="str">
        <f>IMPRODUCT($M47,$V47)</f>
        <v>2.27701824501324+13.6491491741542j</v>
      </c>
      <c r="AA47" s="18">
        <f>IMABS($Z47)</f>
        <v>13.83777746845343</v>
      </c>
      <c r="AB47" s="13">
        <f>180/PI()*IMARGUMENT($Z47)</f>
        <v>80.52885572505366</v>
      </c>
      <c r="AC47" s="9" t="str">
        <f>IMDIV($V47,IMSUM(1,IMPRODUCT($V47,$M47)))</f>
        <v>1105.55082011242-5501.90618484625j</v>
      </c>
      <c r="AD47" s="18">
        <f>IMABS($AC47)</f>
        <v>5611.881527856825</v>
      </c>
      <c r="AE47" s="16">
        <f>180/PI()*IMARGUMENT($AC47)</f>
        <v>-78.63831243787061</v>
      </c>
      <c r="AF47" s="33">
        <f t="shared" si="21"/>
        <v>2805.9407639284127</v>
      </c>
      <c r="AG47" s="9" t="str">
        <f>IMPRODUCT($AC47,COMPLEX(0,$B47,"j"),COMPLEX($D$19,0,"j"))</f>
        <v>1555.62732459479+312.587130117182j</v>
      </c>
      <c r="AH47" s="12">
        <f>IMABS(AG47)</f>
        <v>1586.7221202658138</v>
      </c>
      <c r="AI47" s="35">
        <f>180/PI()*IMARGUMENT($AG47)</f>
        <v>11.361687562129408</v>
      </c>
      <c r="AJ47" s="55" t="str">
        <f>IMDIV(COMPLEX(0,$B47,"j"),COMPLEX(1/$D$26,$B47,"j"))</f>
        <v>0.999516459230783+2.19842433925218E-002j</v>
      </c>
      <c r="AK47" s="35">
        <f>IMABS(AJ47)</f>
        <v>0.9997582003818638</v>
      </c>
      <c r="AL47" s="13">
        <f>180/PI()*IMARGUMENT($AJ47)</f>
        <v>1.2600105660252363</v>
      </c>
      <c r="AM47" s="36" t="str">
        <f>IMPRODUCT(AG47,AJ47)</f>
        <v>1548.00312381177+346.635271227787j</v>
      </c>
      <c r="AN47" s="35">
        <f>IMABS(AM47)</f>
        <v>1586.338451463041</v>
      </c>
      <c r="AO47" s="57">
        <f>180/PI()*IMARGUMENT($AM47)</f>
        <v>12.621698128154671</v>
      </c>
      <c r="AP47" s="203">
        <f t="shared" si="22"/>
        <v>21566.131408724188</v>
      </c>
      <c r="AQ47" s="134">
        <f t="shared" si="23"/>
        <v>665621.3397754378</v>
      </c>
      <c r="AR47" s="134">
        <f t="shared" si="24"/>
        <v>1968.2903420976927</v>
      </c>
      <c r="AS47" s="134">
        <f t="shared" si="25"/>
        <v>105969.25812137156</v>
      </c>
      <c r="AT47" s="139">
        <f t="shared" si="26"/>
        <v>1598.3734951313543</v>
      </c>
      <c r="AU47" s="106">
        <f>IF($D$40,IMDIV(COMPLEX($D$35,$B47,"j"),COMPLEX($D$34,$B47,"j")),1)</f>
        <v>1</v>
      </c>
      <c r="AV47" s="107">
        <f>IMABS(AU47)</f>
        <v>1</v>
      </c>
      <c r="AW47">
        <f t="shared" si="13"/>
        <v>3763.9999617822195</v>
      </c>
      <c r="AX47" s="3">
        <f t="shared" si="14"/>
        <v>5.906224924757081</v>
      </c>
    </row>
    <row r="48" spans="1:50" ht="15" customHeight="1">
      <c r="A48" s="60">
        <v>0.1</v>
      </c>
      <c r="B48" s="124">
        <f t="shared" si="11"/>
        <v>0.6283185307179586</v>
      </c>
      <c r="C48" s="11"/>
      <c r="D48" s="66">
        <v>10</v>
      </c>
      <c r="E48" s="173">
        <f t="shared" si="16"/>
        <v>0.15707963267948966</v>
      </c>
      <c r="H48" s="9" t="str">
        <f>IMDIV(COMPLEX(0,$D$14*$B48,"j"),COMPLEX(1,$B48*$D$20*$D$14,"j"))</f>
        <v>1.83435675138402E-009+1.51424763680892E-005j</v>
      </c>
      <c r="I48" s="10" t="str">
        <f>COMPLEX(1/$D$16,0,"j")</f>
        <v>1.72117039586919E-006</v>
      </c>
      <c r="J48" s="10" t="str">
        <f>IMPRODUCT(1/$D$17,IMDIV(COMPLEX(1/$D$15,0,"j"),COMPLEX(1/$D$15,$B48,"j")))</f>
        <v>3.66078514008367E-009-1.84931186895518E-007j</v>
      </c>
      <c r="K48" s="11" t="str">
        <f>IMSUM($H48,$I48,$J48)</f>
        <v>1.72666553776066E-006+1.49575451811937E-005j</v>
      </c>
      <c r="L48" s="116" t="str">
        <f>COMPLEX($D$18,0,"j")</f>
        <v>12.98</v>
      </c>
      <c r="M48" s="9" t="str">
        <f>IMPRODUCT($L48,$K48)</f>
        <v>2.24121186801334E-005+1.94148936451894E-004j</v>
      </c>
      <c r="N48" s="11">
        <f>IMABS($M48)</f>
        <v>0.00019543825774175834</v>
      </c>
      <c r="O48" s="18">
        <f t="shared" si="12"/>
        <v>5116.705457543254</v>
      </c>
      <c r="P48" s="18">
        <f t="shared" si="17"/>
        <v>2558.352728771627</v>
      </c>
      <c r="Q48" s="115">
        <f t="shared" si="18"/>
        <v>1607.4604276000687</v>
      </c>
      <c r="R48" s="9" t="str">
        <f>IMDIV(COMPLEX(1/$D$29,0,"j"),COMPLEX(1-$B48*$B48*$D$30*$D$30,$B48*2*$D$21*$D$30,"j"))</f>
        <v>0.210719965980599-8.77999858252496E-003j</v>
      </c>
      <c r="S48" s="11">
        <f>IMABS($R48)</f>
        <v>0.21090280329567443</v>
      </c>
      <c r="T48" s="34" t="str">
        <f>IMPRODUCT(IMDIV($D$23,COMPLEX(1,$B48*$D$31,"j")),$AU48)</f>
        <v>376399.990563511-59.5977704363461j</v>
      </c>
      <c r="U48" s="21">
        <f>IMABS($T48)</f>
        <v>376399.9952817553</v>
      </c>
      <c r="V48" s="9" t="str">
        <f>IMPRODUCT($R48,$T48)</f>
        <v>79314.4699383009-3317.3498237689j</v>
      </c>
      <c r="W48" s="189">
        <f>IMABS($V48)</f>
        <v>79383.81416540087</v>
      </c>
      <c r="X48" s="10">
        <f t="shared" si="19"/>
        <v>39691.90708270043</v>
      </c>
      <c r="Y48" s="21">
        <f t="shared" si="20"/>
        <v>24939.16073959607</v>
      </c>
      <c r="Z48" s="10" t="str">
        <f>IMPRODUCT($M48,$V48)</f>
        <v>2.42166525343268+15.324471145813j</v>
      </c>
      <c r="AA48" s="18">
        <f>IMABS($Z48)</f>
        <v>15.514634333381448</v>
      </c>
      <c r="AB48" s="13">
        <f>180/PI()*IMARGUMENT($Z48)</f>
        <v>81.0200342754763</v>
      </c>
      <c r="AC48" s="9" t="str">
        <f>IMDIV($V48,IMSUM(1,IMPRODUCT($V48,$M48)))</f>
        <v>894.558632876541-4975.93613648868j</v>
      </c>
      <c r="AD48" s="18">
        <f>IMABS($AC48)</f>
        <v>5055.7072286741295</v>
      </c>
      <c r="AE48" s="16">
        <f>180/PI()*IMARGUMENT($AC48)</f>
        <v>-79.8084053903696</v>
      </c>
      <c r="AF48" s="33">
        <f t="shared" si="21"/>
        <v>2527.8536143370648</v>
      </c>
      <c r="AG48" s="9" t="str">
        <f>IMPRODUCT($AC48,COMPLEX(0,$B48,"j"),COMPLEX($D$19,0,"j"))</f>
        <v>1563.23644111248+281.033882925027j</v>
      </c>
      <c r="AH48" s="12">
        <f>IMABS(AG48)</f>
        <v>1588.2972688303441</v>
      </c>
      <c r="AI48" s="35">
        <f>180/PI()*IMARGUMENT($AG48)</f>
        <v>10.191594609630403</v>
      </c>
      <c r="AJ48" s="55" t="str">
        <f>IMDIV(COMPLEX(0,$B48,"j"),COMPLEX(1/$D$26,$B48,"j"))</f>
        <v>0.999608295990011+1.97876369978204E-002j</v>
      </c>
      <c r="AK48" s="35">
        <f>IMABS(AJ48)</f>
        <v>0.9998041288122445</v>
      </c>
      <c r="AL48" s="13">
        <f>180/PI()*IMARGUMENT($AJ48)</f>
        <v>1.1340442417661356</v>
      </c>
      <c r="AM48" s="36" t="str">
        <f>IMPRODUCT(AG48,AJ48)</f>
        <v>1557.06311867053+311.856556064641j</v>
      </c>
      <c r="AN48" s="35">
        <f>IMABS(AM48)</f>
        <v>1587.9861671577921</v>
      </c>
      <c r="AO48" s="57">
        <f>180/PI()*IMARGUMENT($AM48)</f>
        <v>11.325638851396521</v>
      </c>
      <c r="AP48" s="203">
        <f t="shared" si="22"/>
        <v>23962.36823191576</v>
      </c>
      <c r="AQ48" s="134">
        <f t="shared" si="23"/>
        <v>599059.205797894</v>
      </c>
      <c r="AR48" s="134">
        <f t="shared" si="24"/>
        <v>2186.9892689974363</v>
      </c>
      <c r="AS48" s="134">
        <f t="shared" si="25"/>
        <v>130826.24459428588</v>
      </c>
      <c r="AT48" s="139">
        <f t="shared" si="26"/>
        <v>1598.3734951313543</v>
      </c>
      <c r="AU48" s="106">
        <f>IF($D$40,IMDIV(COMPLEX($D$35,$B48,"j"),COMPLEX($D$34,$B48,"j")),1)</f>
        <v>1</v>
      </c>
      <c r="AV48" s="107">
        <f>IMABS(AU48)</f>
        <v>1</v>
      </c>
      <c r="AW48">
        <f t="shared" si="13"/>
        <v>3763.9999528175526</v>
      </c>
      <c r="AX48" s="3">
        <f t="shared" si="14"/>
        <v>5.283099850267511</v>
      </c>
    </row>
    <row r="49" spans="1:50" ht="15" customHeight="1">
      <c r="A49" s="60">
        <v>0.15</v>
      </c>
      <c r="B49" s="124">
        <f t="shared" si="11"/>
        <v>0.9424777960769379</v>
      </c>
      <c r="C49" s="11"/>
      <c r="D49" s="66">
        <v>100</v>
      </c>
      <c r="E49" s="174">
        <f t="shared" si="16"/>
        <v>0.015707963267948967</v>
      </c>
      <c r="H49" s="9" t="str">
        <f>IMDIV(COMPLEX(0,$D$14*$B49,"j"),COMPLEX(1,$B49*$D$20*$D$14,"j"))</f>
        <v>4.12730261490462E-009+2.27137141354832E-005j</v>
      </c>
      <c r="I49" s="10" t="str">
        <f>COMPLEX(1/$D$16,0,"j")</f>
        <v>1.72117039586919E-006</v>
      </c>
      <c r="J49" s="10" t="str">
        <f>IMPRODUCT(1/$D$17,IMDIV(COMPLEX(1/$D$15,0,"j"),COMPLEX(1/$D$15,$B49,"j")))</f>
        <v>1.62736975518099E-009-1.23314292765326E-007j</v>
      </c>
      <c r="K49" s="11" t="str">
        <f>IMSUM($H49,$I49,$J49)</f>
        <v>1.72692506823928E-006+2.25903998427179E-005j</v>
      </c>
      <c r="L49" s="116" t="str">
        <f>COMPLEX($D$18,0,"j")</f>
        <v>12.98</v>
      </c>
      <c r="M49" s="9" t="str">
        <f>IMPRODUCT($L49,$K49)</f>
        <v>2.24154873857459E-005+2.93223389958478E-004j</v>
      </c>
      <c r="N49" s="11">
        <f>IMABS($M49)</f>
        <v>0.00029407891881854124</v>
      </c>
      <c r="O49" s="18">
        <f t="shared" si="12"/>
        <v>3400.447757416576</v>
      </c>
      <c r="P49" s="18">
        <f t="shared" si="17"/>
        <v>1700.223878708288</v>
      </c>
      <c r="Q49" s="115">
        <f t="shared" si="18"/>
        <v>1602.4232540423704</v>
      </c>
      <c r="R49" s="9" t="str">
        <f>IMDIV(COMPLEX(1/$D$29,0,"j"),COMPLEX(1-$B49*$B49*$D$30*$D$30,$B49*2*$D$21*$D$30,"j"))</f>
        <v>0.221720036346105-1.46189034953476E-002j</v>
      </c>
      <c r="S49" s="11">
        <f>IMABS($R49)</f>
        <v>0.22220145556841972</v>
      </c>
      <c r="T49" s="34" t="str">
        <f>IMPRODUCT(IMDIV($D$23,COMPLEX(1,$B49*$D$31,"j")),$AU49)</f>
        <v>376399.978767901-89.3966528530094j</v>
      </c>
      <c r="U49" s="21">
        <f>IMABS($T49)</f>
        <v>376399.9893839503</v>
      </c>
      <c r="V49" s="9" t="str">
        <f>IMPRODUCT($R49,$T49)</f>
        <v>83454.1100920513-5522.37599437862j</v>
      </c>
      <c r="W49" s="189">
        <f>IMABS($V49)</f>
        <v>83636.62551705148</v>
      </c>
      <c r="X49" s="10">
        <f t="shared" si="19"/>
        <v>41818.31275852574</v>
      </c>
      <c r="Y49" s="21">
        <f t="shared" si="20"/>
        <v>39412.831244311434</v>
      </c>
      <c r="Z49" s="10" t="str">
        <f>IMPRODUCT($M49,$V49)</f>
        <v>3.48995436175405+24.346910317718j</v>
      </c>
      <c r="AA49" s="18">
        <f>IMABS($Z49)</f>
        <v>24.59576840568575</v>
      </c>
      <c r="AB49" s="13">
        <f>180/PI()*IMARGUMENT($Z49)</f>
        <v>81.84262976845147</v>
      </c>
      <c r="AC49" s="9" t="str">
        <f>IMDIV($V49,IMSUM(1,IMPRODUCT($V49,$M49)))</f>
        <v>391.972449655977-3355.42254092831j</v>
      </c>
      <c r="AD49" s="18">
        <f>IMABS($AC49)</f>
        <v>3378.239605098949</v>
      </c>
      <c r="AE49" s="16">
        <f>180/PI()*IMARGUMENT($AC49)</f>
        <v>-83.33704268736268</v>
      </c>
      <c r="AF49" s="33">
        <f t="shared" si="21"/>
        <v>1689.1198025494746</v>
      </c>
      <c r="AG49" s="9" t="str">
        <f>IMPRODUCT($AC49,COMPLEX(0,$B49,"j"),COMPLEX($D$19,0,"j"))</f>
        <v>1581.2056206405+184.712665237322j</v>
      </c>
      <c r="AH49" s="12">
        <f>IMABS(AG49)</f>
        <v>1591.9579088167452</v>
      </c>
      <c r="AI49" s="35">
        <f>180/PI()*IMARGUMENT($AG49)</f>
        <v>6.662957312637304</v>
      </c>
      <c r="AJ49" s="55" t="str">
        <f>IMDIV(COMPLEX(0,$B49,"j"),COMPLEX(1/$D$26,$B49,"j"))</f>
        <v>0.999825871436196+1.31946293258899E-002j</v>
      </c>
      <c r="AK49" s="35">
        <f>IMABS(AJ49)</f>
        <v>0.9999129319276734</v>
      </c>
      <c r="AL49" s="13">
        <f>180/PI()*IMARGUMENT($AJ49)</f>
        <v>0.7560843452384229</v>
      </c>
      <c r="AM49" s="36" t="str">
        <f>IMPRODUCT(AG49,AJ49)</f>
        <v>1578.4930724271+205.543923538573j</v>
      </c>
      <c r="AN49" s="35">
        <f>IMABS(AM49)</f>
        <v>1591.8193001104041</v>
      </c>
      <c r="AO49" s="57">
        <f>180/PI()*IMARGUMENT($AM49)</f>
        <v>7.4190416578757095</v>
      </c>
      <c r="AP49" s="203">
        <f t="shared" si="22"/>
        <v>35943.55234787364</v>
      </c>
      <c r="AQ49" s="134">
        <f t="shared" si="23"/>
        <v>399372.8038652627</v>
      </c>
      <c r="AR49" s="134">
        <f t="shared" si="24"/>
        <v>3280.4839034961547</v>
      </c>
      <c r="AS49" s="138">
        <f t="shared" si="25"/>
        <v>294359.0503371432</v>
      </c>
      <c r="AT49" s="139">
        <f t="shared" si="26"/>
        <v>1598.3734951313543</v>
      </c>
      <c r="AU49" s="106">
        <f>IF($D$40,IMDIV(COMPLEX($D$35,$B49,"j"),COMPLEX($D$34,$B49,"j")),1)</f>
        <v>1</v>
      </c>
      <c r="AV49" s="107">
        <f>IMABS(AU49)</f>
        <v>1</v>
      </c>
      <c r="AW49">
        <f t="shared" si="13"/>
        <v>3763.999893839503</v>
      </c>
      <c r="AX49" s="3">
        <f t="shared" si="14"/>
        <v>3.456721431715506</v>
      </c>
    </row>
    <row r="50" spans="1:50" ht="15" customHeight="1">
      <c r="A50" s="60">
        <v>0.2</v>
      </c>
      <c r="B50" s="124">
        <f t="shared" si="11"/>
        <v>1.2566370614359172</v>
      </c>
      <c r="C50" s="11"/>
      <c r="D50" s="66">
        <v>1000</v>
      </c>
      <c r="E50" s="175">
        <f t="shared" si="16"/>
        <v>0.0015707963267948967</v>
      </c>
      <c r="H50" s="9" t="str">
        <f>IMDIV(COMPLEX(0,$D$14*$B50,"j"),COMPLEX(1,$B50*$D$20*$D$14,"j"))</f>
        <v>7.33742668250912E-009+3.02849514028966E-005j</v>
      </c>
      <c r="I50" s="10" t="str">
        <f>COMPLEX(1/$D$16,0,"j")</f>
        <v>1.72117039586919E-006</v>
      </c>
      <c r="J50" s="10" t="str">
        <f>IMPRODUCT(1/$D$17,IMDIV(COMPLEX(1/$D$15,0,"j"),COMPLEX(1/$D$15,$B50,"j")))</f>
        <v>9.15465228571693E-010-9.24927657881995E-008j</v>
      </c>
      <c r="K50" s="11" t="str">
        <f>IMSUM($H50,$I50,$J50)</f>
        <v>1.72942328778027E-006+3.01924586371084E-005j</v>
      </c>
      <c r="L50" s="116" t="str">
        <f>COMPLEX($D$18,0,"j")</f>
        <v>12.98</v>
      </c>
      <c r="M50" s="9" t="str">
        <f>IMPRODUCT($L50,$K50)</f>
        <v>2.24479142753879E-005+3.91898113109667E-004j</v>
      </c>
      <c r="N50" s="11">
        <f>IMABS($M50)</f>
        <v>0.0003925404946170936</v>
      </c>
      <c r="O50" s="18">
        <f t="shared" si="12"/>
        <v>2547.5078717049487</v>
      </c>
      <c r="P50" s="18">
        <f t="shared" si="17"/>
        <v>1273.7539358524743</v>
      </c>
      <c r="Q50" s="115">
        <f t="shared" si="18"/>
        <v>1600.6464029420872</v>
      </c>
      <c r="R50" s="9" t="str">
        <f>IMDIV(COMPLEX(1/$D$29,0,"j"),COMPLEX(1-$B50*$B50*$D$30*$D$30,$B50*2*$D$21*$D$30,"j"))</f>
        <v>0.239072455785292-2.27688053128849E-002j</v>
      </c>
      <c r="S50" s="11">
        <f>IMABS($R50)</f>
        <v>0.24015423712811407</v>
      </c>
      <c r="T50" s="34" t="str">
        <f>IMPRODUCT(IMDIV($D$23,COMPLEX(1,$B50*$D$31,"j")),$AU50)</f>
        <v>376399.962254048-119.195531907862j</v>
      </c>
      <c r="U50" s="21">
        <f>IMABS($T50)</f>
        <v>376399.9811270234</v>
      </c>
      <c r="V50" s="9" t="str">
        <f>IMPRODUCT($R50,$T50)</f>
        <v>89984.1493937063-8598.67382887149j</v>
      </c>
      <c r="W50" s="189">
        <f>IMABS($V50)</f>
        <v>90394.05032259686</v>
      </c>
      <c r="X50" s="10">
        <f t="shared" si="19"/>
        <v>45197.02516129843</v>
      </c>
      <c r="Y50" s="21">
        <f t="shared" si="20"/>
        <v>56796.25688433927</v>
      </c>
      <c r="Z50" s="10" t="str">
        <f>IMPRODUCT($M50,$V50)</f>
        <v>5.38976052051383+35.0715960641794j</v>
      </c>
      <c r="AA50" s="18">
        <f>IMABS($Z50)</f>
        <v>35.48332522407467</v>
      </c>
      <c r="AB50" s="13">
        <f>180/PI()*IMARGUMENT($Z50)</f>
        <v>81.2632053803309</v>
      </c>
      <c r="AC50" s="9" t="str">
        <f>IMDIV($V50,IMSUM(1,IMPRODUCT($V50,$M50)))</f>
        <v>215.138556300039-2526.5307395212j</v>
      </c>
      <c r="AD50" s="18">
        <f>IMABS($AC50)</f>
        <v>2535.673909664333</v>
      </c>
      <c r="AE50" s="16">
        <f>180/PI()*IMARGUMENT($AC50)</f>
        <v>-85.13290397052661</v>
      </c>
      <c r="AF50" s="33">
        <f t="shared" si="21"/>
        <v>1267.8369548321666</v>
      </c>
      <c r="AG50" s="9" t="str">
        <f>IMPRODUCT($AC50,COMPLEX(0,$B50,"j"),COMPLEX($D$19,0,"j"))</f>
        <v>1587.46608206972+135.175541595224j</v>
      </c>
      <c r="AH50" s="12">
        <f>IMABS(AG50)</f>
        <v>1593.2109053001577</v>
      </c>
      <c r="AI50" s="35">
        <f>180/PI()*IMARGUMENT($AG50)</f>
        <v>4.8670960294734025</v>
      </c>
      <c r="AJ50" s="55" t="str">
        <f>IMDIV(COMPLEX(0,$B50,"j"),COMPLEX(1/$D$26,$B50,"j"))</f>
        <v>0.999902045220543+9.89672593933734E-003j</v>
      </c>
      <c r="AK50" s="35">
        <f>IMABS(AJ50)</f>
        <v>0.9999510214108205</v>
      </c>
      <c r="AL50" s="13">
        <f>180/PI()*IMARGUMENT($AJ50)</f>
        <v>0.5670776597834246</v>
      </c>
      <c r="AM50" s="36" t="str">
        <f>IMPRODUCT(AG50,AJ50)</f>
        <v>1585.97278689089+150.873017257097j</v>
      </c>
      <c r="AN50" s="35">
        <f>IMABS(AM50)</f>
        <v>1593.132872077755</v>
      </c>
      <c r="AO50" s="57">
        <f>180/PI()*IMARGUMENT($AM50)</f>
        <v>5.434173689256824</v>
      </c>
      <c r="AP50" s="203">
        <f t="shared" si="22"/>
        <v>47924.73646383152</v>
      </c>
      <c r="AQ50" s="134">
        <f t="shared" si="23"/>
        <v>299529.602898947</v>
      </c>
      <c r="AR50" s="134">
        <f t="shared" si="24"/>
        <v>4373.978537994873</v>
      </c>
      <c r="AS50" s="138">
        <f t="shared" si="25"/>
        <v>523304.9783771435</v>
      </c>
      <c r="AT50" s="139">
        <f t="shared" si="26"/>
        <v>1598.3734951313543</v>
      </c>
      <c r="AU50" s="106">
        <f>IF($D$40,IMDIV(COMPLEX($D$35,$B50,"j"),COMPLEX($D$34,$B50,"j")),1)</f>
        <v>1</v>
      </c>
      <c r="AV50" s="107">
        <f>IMABS(AU50)</f>
        <v>1</v>
      </c>
      <c r="AW50">
        <f t="shared" si="13"/>
        <v>3763.999811270234</v>
      </c>
      <c r="AX50" s="3">
        <f t="shared" si="14"/>
        <v>2.567598555964908</v>
      </c>
    </row>
    <row r="51" spans="1:50" ht="15" customHeight="1" thickBot="1">
      <c r="A51" s="60">
        <v>0.3</v>
      </c>
      <c r="B51" s="124">
        <f t="shared" si="11"/>
        <v>1.8849555921538759</v>
      </c>
      <c r="C51" s="11"/>
      <c r="D51" s="169">
        <v>10000</v>
      </c>
      <c r="E51" s="176">
        <f t="shared" si="16"/>
        <v>0.00015707963267948965</v>
      </c>
      <c r="H51" s="9" t="str">
        <f>IMDIV(COMPLEX(0,$D$14*$B51,"j"),COMPLEX(1,$B51*$D$20*$D$14,"j"))</f>
        <v>1.65092088242944E-008+4.5427423771141E-005j</v>
      </c>
      <c r="I51" s="10" t="str">
        <f>COMPLEX(1/$D$16,0,"j")</f>
        <v>1.72117039586919E-006</v>
      </c>
      <c r="J51" s="10" t="str">
        <f>IMPRODUCT(1/$D$17,IMDIV(COMPLEX(1/$D$15,0,"j"),COMPLEX(1/$D$15,$B51,"j")))</f>
        <v>4.06895577902194E-010-6.166519963715E-008j</v>
      </c>
      <c r="K51" s="11" t="str">
        <f>IMSUM($H51,$I51,$J51)</f>
        <v>1.73808650027139E-006+4.53657585715038E-005j</v>
      </c>
      <c r="L51" s="116" t="str">
        <f>COMPLEX($D$18,0,"j")</f>
        <v>12.98</v>
      </c>
      <c r="M51" s="9" t="str">
        <f>IMPRODUCT($L51,$K51)</f>
        <v>2.25603627735226E-005+5.88847546258119E-004j</v>
      </c>
      <c r="N51" s="11">
        <f>IMABS($M51)</f>
        <v>0.0005892795624342325</v>
      </c>
      <c r="O51" s="18">
        <f t="shared" si="12"/>
        <v>1696.9874126792013</v>
      </c>
      <c r="P51" s="18">
        <f t="shared" si="17"/>
        <v>848.4937063396006</v>
      </c>
      <c r="Q51" s="115">
        <f t="shared" si="18"/>
        <v>1599.3729566721988</v>
      </c>
      <c r="R51" s="9" t="str">
        <f>IMDIV(COMPLEX(1/$D$29,0,"j"),COMPLEX(1-$B51*$B51*$D$30*$D$30,$B51*2*$D$21*$D$30,"j"))</f>
        <v>0.305875271373096-5.73516133824555E-002j</v>
      </c>
      <c r="S51" s="11">
        <f>IMABS($R51)</f>
        <v>0.3112055417166214</v>
      </c>
      <c r="T51" s="34" t="str">
        <f>IMPRODUCT(IMDIV($D$23,COMPLEX(1,$B51*$D$31,"j")),$AU51)</f>
        <v>376399.915071619-178.793275449724j</v>
      </c>
      <c r="U51" s="21">
        <f>IMABS($T51)</f>
        <v>376399.957535807</v>
      </c>
      <c r="V51" s="9" t="str">
        <f>IMPRODUCT($R51,$T51)</f>
        <v>115121.172084533-21641.8308480244j</v>
      </c>
      <c r="W51" s="189">
        <f>IMABS($V51)</f>
        <v>117137.75268704433</v>
      </c>
      <c r="X51" s="10">
        <f t="shared" si="19"/>
        <v>58568.87634352216</v>
      </c>
      <c r="Y51" s="21">
        <f t="shared" si="20"/>
        <v>110399.73098989094</v>
      </c>
      <c r="Z51" s="10" t="str">
        <f>IMPRODUCT($M51,$V51)</f>
        <v>15.3409143965326+67.3005721493213j</v>
      </c>
      <c r="AA51" s="18">
        <f>IMABS($Z51)</f>
        <v>69.02688364795084</v>
      </c>
      <c r="AB51" s="13">
        <f>180/PI()*IMARGUMENT($Z51)</f>
        <v>77.15904355958169</v>
      </c>
      <c r="AC51" s="9" t="str">
        <f>IMDIV($V51,IMSUM(1,IMPRODUCT($V51,$M51)))</f>
        <v>88.5410483564314-1689.05444281439j</v>
      </c>
      <c r="AD51" s="18">
        <f>IMABS($AC51)</f>
        <v>1691.3735329710837</v>
      </c>
      <c r="AE51" s="16">
        <f>180/PI()*IMARGUMENT($AC51)</f>
        <v>-86.9992741704301</v>
      </c>
      <c r="AF51" s="33">
        <f t="shared" si="21"/>
        <v>845.6867664855419</v>
      </c>
      <c r="AG51" s="9" t="str">
        <f>IMPRODUCT($AC51,COMPLEX(0,$B51,"j"),COMPLEX($D$19,0,"j"))</f>
        <v>1591.89630871767+83.4479721173112j</v>
      </c>
      <c r="AH51" s="12">
        <f>IMABS(AG51)</f>
        <v>1594.0819996974544</v>
      </c>
      <c r="AI51" s="35">
        <f>180/PI()*IMARGUMENT($AG51)</f>
        <v>3.0007258295699035</v>
      </c>
      <c r="AJ51" s="55" t="str">
        <f>IMDIV(COMPLEX(0,$B51,"j"),COMPLEX(1/$D$26,$B51,"j"))</f>
        <v>0.999956462173164+6.59817636117505E-003j</v>
      </c>
      <c r="AK51" s="35">
        <f>IMABS(AJ51)</f>
        <v>0.9999782308496338</v>
      </c>
      <c r="AL51" s="13">
        <f>180/PI()*IMARGUMENT($AJ51)</f>
        <v>0.37805863127616723</v>
      </c>
      <c r="AM51" s="36" t="str">
        <f>IMPRODUCT(AG51,AJ51)</f>
        <v>1591.27639657483+93.9479515675741j</v>
      </c>
      <c r="AN51" s="35">
        <f>IMABS(AM51)</f>
        <v>1594.0472978867092</v>
      </c>
      <c r="AO51" s="57">
        <f>180/PI()*IMARGUMENT($AM51)</f>
        <v>3.3787844608460667</v>
      </c>
      <c r="AP51" s="203">
        <f t="shared" si="22"/>
        <v>71887.10469574729</v>
      </c>
      <c r="AQ51" s="134">
        <f t="shared" si="23"/>
        <v>199686.40193263136</v>
      </c>
      <c r="AR51" s="134">
        <f t="shared" si="24"/>
        <v>6560.967806992309</v>
      </c>
      <c r="AS51" s="138">
        <f t="shared" si="25"/>
        <v>1177436.2013485727</v>
      </c>
      <c r="AT51" s="139">
        <f t="shared" si="26"/>
        <v>1598.3734951313543</v>
      </c>
      <c r="AU51" s="106">
        <f>IF($D$40,IMDIV(COMPLEX($D$35,$B51,"j"),COMPLEX($D$34,$B51,"j")),1)</f>
        <v>1</v>
      </c>
      <c r="AV51" s="107">
        <f>IMABS(AU51)</f>
        <v>1</v>
      </c>
      <c r="AW51">
        <f t="shared" si="13"/>
        <v>3763.9995753580697</v>
      </c>
      <c r="AX51" s="3">
        <f t="shared" si="14"/>
        <v>1.6944511650886105</v>
      </c>
    </row>
    <row r="52" spans="1:50" ht="15" customHeight="1">
      <c r="A52" s="60">
        <v>0.4</v>
      </c>
      <c r="B52" s="124">
        <f t="shared" si="11"/>
        <v>2.5132741228718345</v>
      </c>
      <c r="D52" s="195">
        <f>$D$44/(2*E52)</f>
        <v>15707.963267948964</v>
      </c>
      <c r="E52" s="32">
        <v>0.0001</v>
      </c>
      <c r="H52" s="9" t="str">
        <f>IMDIV(COMPLEX(0,$D$14*$B52,"j"),COMPLEX(1,$B52*$D$20*$D$14,"j"))</f>
        <v>2.93497015616057E-008+6.05698921395418E-005j</v>
      </c>
      <c r="I52" s="10" t="str">
        <f>COMPLEX(1/$D$16,0,"j")</f>
        <v>1.72117039586919E-006</v>
      </c>
      <c r="J52" s="10" t="str">
        <f>IMPRODUCT(1/$D$17,IMDIV(COMPLEX(1/$D$15,0,"j"),COMPLEX(1/$D$15,$B52,"j")))</f>
        <v>2.2888312228975E-010-4.62497806844001E-008j</v>
      </c>
      <c r="K52" s="11" t="str">
        <f>IMSUM($H52,$I52,$J52)</f>
        <v>1.75074898055309E-006+6.05236423588574E-005j</v>
      </c>
      <c r="L52" s="116" t="str">
        <f>COMPLEX($D$18,0,"j")</f>
        <v>12.98</v>
      </c>
      <c r="M52" s="9" t="str">
        <f>IMPRODUCT($L52,$K52)</f>
        <v>2.27247217675791E-005+7.85596877817969E-004j</v>
      </c>
      <c r="N52" s="11">
        <f>IMABS($M52)</f>
        <v>0.0007859254846464483</v>
      </c>
      <c r="O52" s="18">
        <f t="shared" si="12"/>
        <v>1272.385257299366</v>
      </c>
      <c r="P52" s="18">
        <f t="shared" si="17"/>
        <v>636.192628649683</v>
      </c>
      <c r="Q52" s="115">
        <f t="shared" si="18"/>
        <v>1598.9264707470588</v>
      </c>
      <c r="R52" s="9" t="str">
        <f>IMDIV(COMPLEX(1/$D$29,0,"j"),COMPLEX(1-$B52*$B52*$D$30*$D$30,$B52*2*$D$21*$D$30,"j"))</f>
        <v>0.47004672823765-0.208909656994511j</v>
      </c>
      <c r="S52" s="11">
        <f>IMABS($R52)</f>
        <v>0.5143803762902347</v>
      </c>
      <c r="T52" s="34" t="str">
        <f>IMPRODUCT(IMDIV($D$23,COMPLEX(1,$B52*$D$31,"j")),$AU52)</f>
        <v>376399.849016238-238.390992097115j</v>
      </c>
      <c r="U52" s="21">
        <f>IMABS($T52)</f>
        <v>376399.9245081113</v>
      </c>
      <c r="V52" s="9" t="str">
        <f>IMPRODUCT($R52,$T52)</f>
        <v>176875.715358839-78745.6182566446j</v>
      </c>
      <c r="W52" s="189">
        <f>IMABS($V52)</f>
        <v>193612.73480409867</v>
      </c>
      <c r="X52" s="10">
        <f t="shared" si="19"/>
        <v>96806.36740204933</v>
      </c>
      <c r="Y52" s="21">
        <f t="shared" si="20"/>
        <v>243300.9381207941</v>
      </c>
      <c r="Z52" s="10" t="str">
        <f>IMPRODUCT($M52,$V52)</f>
        <v>65.8817632632368+137.163537482425j</v>
      </c>
      <c r="AA52" s="18">
        <f>IMABS($Z52)</f>
        <v>152.1651824346351</v>
      </c>
      <c r="AB52" s="13">
        <f>180/PI()*IMARGUMENT($Z52)</f>
        <v>64.34430749611282</v>
      </c>
      <c r="AC52" s="9" t="str">
        <f>IMDIV($V52,IMSUM(1,IMPRODUCT($V52,$M52)))</f>
        <v>44.1762306546557-1267.98371017966j</v>
      </c>
      <c r="AD52" s="18">
        <f>IMABS($AC52)</f>
        <v>1268.7530211336757</v>
      </c>
      <c r="AE52" s="16">
        <f>180/PI()*IMARGUMENT($AC52)</f>
        <v>-88.00463665127381</v>
      </c>
      <c r="AF52" s="33">
        <f t="shared" si="21"/>
        <v>634.3765105668379</v>
      </c>
      <c r="AG52" s="9" t="str">
        <f>IMPRODUCT($AC52,COMPLEX(0,$B52,"j"),COMPLEX($D$19,0,"j"))</f>
        <v>1593.39532350878+55.5134886751817j</v>
      </c>
      <c r="AH52" s="12">
        <f>IMABS(AG52)</f>
        <v>1594.3620681653647</v>
      </c>
      <c r="AI52" s="35">
        <f>180/PI()*IMARGUMENT($AG52)</f>
        <v>1.9953633487261844</v>
      </c>
      <c r="AJ52" s="55" t="str">
        <f>IMDIV(COMPLEX(0,$B52,"j"),COMPLEX(1/$D$26,$B52,"j"))</f>
        <v>0.999975509505915+4.94872653323081E-003j</v>
      </c>
      <c r="AK52" s="35">
        <f>IMABS(AJ52)</f>
        <v>0.9999877546779835</v>
      </c>
      <c r="AL52" s="13">
        <f>180/PI()*IMARGUMENT($AJ52)</f>
        <v>0.2835457737843804</v>
      </c>
      <c r="AM52" s="36" t="str">
        <f>IMPRODUCT(AG52,AJ52)</f>
        <v>1593.08157939568+63.3974068377894j</v>
      </c>
      <c r="AN52" s="35">
        <f>IMABS(AM52)</f>
        <v>1594.3425446884337</v>
      </c>
      <c r="AO52" s="57">
        <f>180/PI()*IMARGUMENT($AM52)</f>
        <v>2.2789091225105564</v>
      </c>
      <c r="AP52" s="203">
        <f t="shared" si="22"/>
        <v>95849.47292766304</v>
      </c>
      <c r="AQ52" s="134">
        <f t="shared" si="23"/>
        <v>149764.8014494735</v>
      </c>
      <c r="AR52" s="134">
        <f t="shared" si="24"/>
        <v>8747.957075989745</v>
      </c>
      <c r="AS52" s="138">
        <f t="shared" si="25"/>
        <v>2093219.913508574</v>
      </c>
      <c r="AT52" s="139">
        <f t="shared" si="26"/>
        <v>1598.3734951313543</v>
      </c>
      <c r="AU52" s="106">
        <f>IF($D$40,IMDIV(COMPLEX($D$35,$B52,"j"),COMPLEX($D$34,$B52,"j")),1)</f>
        <v>1</v>
      </c>
      <c r="AV52" s="107">
        <f>IMABS(AU52)</f>
        <v>1</v>
      </c>
      <c r="AW52">
        <f t="shared" si="13"/>
        <v>3763.9992450811133</v>
      </c>
      <c r="AX52" s="3">
        <f t="shared" si="14"/>
        <v>1.2638566899217096</v>
      </c>
    </row>
    <row r="53" spans="1:50" ht="15" customHeight="1">
      <c r="A53" s="60">
        <v>0.5</v>
      </c>
      <c r="B53" s="124">
        <f t="shared" si="11"/>
        <v>3.141592653589793</v>
      </c>
      <c r="D53" s="196">
        <f>$D$44/(2*E53)</f>
        <v>1570.7963267948965</v>
      </c>
      <c r="E53" s="11">
        <v>0.001</v>
      </c>
      <c r="H53" s="9" t="str">
        <f>IMDIV(COMPLEX(0,$D$14*$B53,"j"),COMPLEX(1,$B53*$D$20*$D$14,"j"))</f>
        <v>4.58589026332559E-008+7.57123551748196E-005j</v>
      </c>
      <c r="I53" s="10" t="str">
        <f>COMPLEX(1/$D$16,0,"j")</f>
        <v>1.72117039586919E-006</v>
      </c>
      <c r="J53" s="10" t="str">
        <f>IMPRODUCT(1/$D$17,IMDIV(COMPLEX(1/$D$15,0,"j"),COMPLEX(1/$D$15,$B53,"j")))</f>
        <v>1.46486489774983E-010-3.70001507622305E-008j</v>
      </c>
      <c r="K53" s="11" t="str">
        <f>IMSUM($H53,$I53,$J53)</f>
        <v>1.76717578499222E-006+7.56753550240574E-005j</v>
      </c>
      <c r="L53" s="116" t="str">
        <f>COMPLEX($D$18,0,"j")</f>
        <v>12.98</v>
      </c>
      <c r="M53" s="9" t="str">
        <f>IMPRODUCT($L53,$K53)</f>
        <v>2.2937941689199E-005+9.82266108212265E-004j</v>
      </c>
      <c r="N53" s="11">
        <f>IMABS($M53)</f>
        <v>0.0009825338958587668</v>
      </c>
      <c r="O53" s="18">
        <f t="shared" si="12"/>
        <v>1017.7765919474638</v>
      </c>
      <c r="P53" s="18">
        <f t="shared" si="17"/>
        <v>508.8882959737319</v>
      </c>
      <c r="Q53" s="115">
        <f t="shared" si="18"/>
        <v>1598.7197321289043</v>
      </c>
      <c r="R53" s="9" t="str">
        <f>IMDIV(COMPLEX(1/$D$29,0,"j"),COMPLEX(1-$B53*$B53*$D$30*$D$30,$B53*2*$D$21*$D$30,"j"))</f>
        <v>-1.01321183642338j</v>
      </c>
      <c r="S53" s="11">
        <f>IMABS($R53)</f>
        <v>1.01321183642338</v>
      </c>
      <c r="T53" s="34" t="str">
        <f>IMPRODUCT(IMDIV($D$23,COMPLEX(1,$B53*$D$31,"j")),$AU53)</f>
        <v>376399.764087926-297.988672885233j</v>
      </c>
      <c r="U53" s="21">
        <f>IMABS($T53)</f>
        <v>376399.88204394473</v>
      </c>
      <c r="V53" s="9" t="str">
        <f>IMPRODUCT($R53,$T53)</f>
        <v>-301.925650487413-381372.696200854j</v>
      </c>
      <c r="W53" s="189">
        <f>IMABS($V53)</f>
        <v>381372.8157152884</v>
      </c>
      <c r="X53" s="10">
        <f t="shared" si="19"/>
        <v>190686.4078576442</v>
      </c>
      <c r="Y53" s="21">
        <f t="shared" si="20"/>
        <v>599059.018065002</v>
      </c>
      <c r="Z53" s="10" t="str">
        <f>IMPRODUCT($M53,$V53)</f>
        <v>374.602548522666-9.04447600098152j</v>
      </c>
      <c r="AA53" s="18">
        <f>IMABS($Z53)</f>
        <v>374.7117183993699</v>
      </c>
      <c r="AB53" s="13">
        <f>180/PI()*IMARGUMENT($Z53)</f>
        <v>-1.3830916113377734</v>
      </c>
      <c r="AC53" s="9" t="str">
        <f>IMDIV($V53,IMSUM(1,IMPRODUCT($V53,$M53)))</f>
        <v>23.6322893664384-1014.79331284098j</v>
      </c>
      <c r="AD53" s="18">
        <f>IMABS($AC53)</f>
        <v>1015.0684473903573</v>
      </c>
      <c r="AE53" s="16">
        <f>180/PI()*IMARGUMENT($AC53)</f>
        <v>-88.66594928210452</v>
      </c>
      <c r="AF53" s="33">
        <f t="shared" si="21"/>
        <v>507.53422369517864</v>
      </c>
      <c r="AG53" s="9" t="str">
        <f>IMPRODUCT($AC53,COMPLEX(0,$B53,"j"),COMPLEX($D$19,0,"j"))</f>
        <v>1594.03360826663+37.1215133305555j</v>
      </c>
      <c r="AH53" s="12">
        <f>IMABS(AG53)</f>
        <v>1594.4657886061661</v>
      </c>
      <c r="AI53" s="35">
        <f>180/PI()*IMARGUMENT($AG53)</f>
        <v>1.3340507178954832</v>
      </c>
      <c r="AJ53" s="55" t="str">
        <f>IMDIV(COMPLEX(0,$B53,"j"),COMPLEX(1/$D$26,$B53,"j"))</f>
        <v>0.999984325945594+3.95901613155866E-003j</v>
      </c>
      <c r="AK53" s="35">
        <f>IMABS(AJ53)</f>
        <v>0.9999921629420873</v>
      </c>
      <c r="AL53" s="13">
        <f>180/PI()*IMARGUMENT($AJ53)</f>
        <v>0.22683728567411274</v>
      </c>
      <c r="AM53" s="36" t="str">
        <f>IMPRODUCT(AG53,AJ53)</f>
        <v>1593.86165862703+43.4317362553102j</v>
      </c>
      <c r="AN53" s="35">
        <f>IMABS(AM53)</f>
        <v>1594.4532926854451</v>
      </c>
      <c r="AO53" s="57">
        <f>180/PI()*IMARGUMENT($AM53)</f>
        <v>1.5608880035695927</v>
      </c>
      <c r="AP53" s="203">
        <f t="shared" si="22"/>
        <v>119811.84115957883</v>
      </c>
      <c r="AQ53" s="134">
        <f t="shared" si="23"/>
        <v>119811.84115957882</v>
      </c>
      <c r="AR53" s="134">
        <f t="shared" si="24"/>
        <v>10934.946344987182</v>
      </c>
      <c r="AS53" s="138">
        <f t="shared" si="25"/>
        <v>3270656.1148571465</v>
      </c>
      <c r="AT53" s="139">
        <f t="shared" si="26"/>
        <v>1598.3734951313543</v>
      </c>
      <c r="AU53" s="106">
        <f>IF($D$40,IMDIV(COMPLEX($D$35,$B53,"j"),COMPLEX($D$34,$B53,"j")),1)</f>
        <v>1</v>
      </c>
      <c r="AV53" s="107">
        <f>IMABS(AU53)</f>
        <v>1</v>
      </c>
      <c r="AW53">
        <f t="shared" si="13"/>
        <v>3763.998820439447</v>
      </c>
      <c r="AX53" s="3">
        <f t="shared" si="14"/>
        <v>1.007411392877197</v>
      </c>
    </row>
    <row r="54" spans="1:50" ht="15" customHeight="1">
      <c r="A54" s="60">
        <v>0.6</v>
      </c>
      <c r="B54" s="124">
        <f t="shared" si="11"/>
        <v>3.7699111843077517</v>
      </c>
      <c r="D54" s="164">
        <f>$D$44/(2*E54)</f>
        <v>157.07963267948966</v>
      </c>
      <c r="E54" s="11">
        <v>0.01</v>
      </c>
      <c r="H54" s="9" t="str">
        <f>IMDIV(COMPLEX(0,$D$14*$B54,"j"),COMPLEX(1,$B54*$D$20*$D$14,"j"))</f>
        <v>6.60368091320064E-008+9.08548115436966E-005j</v>
      </c>
      <c r="I54" s="10" t="str">
        <f>COMPLEX(1/$D$16,0,"j")</f>
        <v>1.72117039586919E-006</v>
      </c>
      <c r="J54" s="10" t="str">
        <f>IMPRODUCT(1/$D$17,IMDIV(COMPLEX(1/$D$15,0,"j"),COMPLEX(1/$D$15,$B54,"j")))</f>
        <v>1.01727216211992E-010-3.0833606639745E-008j</v>
      </c>
      <c r="K54" s="11" t="str">
        <f>IMSUM($H54,$I54,$J54)</f>
        <v>1.78730893221741E-006+9.08239779370569E-005j</v>
      </c>
      <c r="L54" s="116" t="str">
        <f>COMPLEX($D$18,0,"j")</f>
        <v>12.98</v>
      </c>
      <c r="M54" s="9" t="str">
        <f>IMPRODUCT($L54,$K54)</f>
        <v>2.3199269940182E-005+1.178895233623E-003j</v>
      </c>
      <c r="N54" s="11">
        <f>IMABS($M54)</f>
        <v>0.0011791234786843934</v>
      </c>
      <c r="O54" s="18">
        <f t="shared" si="12"/>
        <v>848.0875990322487</v>
      </c>
      <c r="P54" s="18">
        <f t="shared" si="17"/>
        <v>424.04379951612435</v>
      </c>
      <c r="Q54" s="115">
        <f t="shared" si="18"/>
        <v>1598.6074624321911</v>
      </c>
      <c r="R54" s="9" t="str">
        <f>IMDIV(COMPLEX(1/$D$29,0,"j"),COMPLEX(1-$B54*$B54*$D$30*$D$30,$B54*2*$D$21*$D$30,"j"))</f>
        <v>-0.35494682167698-0.193607357278353j</v>
      </c>
      <c r="S54" s="11">
        <f>IMABS($R54)</f>
        <v>0.4043155389184265</v>
      </c>
      <c r="T54" s="34" t="str">
        <f>IMPRODUCT(IMDIV($D$23,COMPLEX(1,$B54*$D$31,"j")),$AU54)</f>
        <v>376399.660286707-357.586308849292j</v>
      </c>
      <c r="U54" s="21">
        <f>IMABS($T54)</f>
        <v>376399.8301433154</v>
      </c>
      <c r="V54" s="9" t="str">
        <f>IMPRODUCT($R54,$T54)</f>
        <v>-133671.094439317-72746.8193847779j</v>
      </c>
      <c r="W54" s="189">
        <f>IMABS($V54)</f>
        <v>152184.3001731989</v>
      </c>
      <c r="X54" s="10">
        <f t="shared" si="19"/>
        <v>76092.15008659945</v>
      </c>
      <c r="Y54" s="21">
        <f t="shared" si="20"/>
        <v>286860.64764949534</v>
      </c>
      <c r="Z54" s="10" t="str">
        <f>IMPRODUCT($M54,$V54)</f>
        <v>82.6598068308507-159.271889207878j</v>
      </c>
      <c r="AA54" s="18">
        <f>IMABS($Z54)</f>
        <v>179.44408142137235</v>
      </c>
      <c r="AB54" s="13">
        <f>180/PI()*IMARGUMENT($Z54)</f>
        <v>-62.57134027576613</v>
      </c>
      <c r="AC54" s="9" t="str">
        <f>IMDIV($V54,IMSUM(1,IMPRODUCT($V54,$M54)))</f>
        <v>12.4704692481732-845.81386054813j</v>
      </c>
      <c r="AD54" s="18">
        <f>IMABS($AC54)</f>
        <v>845.9057863016432</v>
      </c>
      <c r="AE54" s="16">
        <f>180/PI()*IMARGUMENT($AC54)</f>
        <v>-89.1553064759031</v>
      </c>
      <c r="AF54" s="33">
        <f t="shared" si="21"/>
        <v>422.9528931508216</v>
      </c>
      <c r="AG54" s="9" t="str">
        <f>IMPRODUCT($AC54,COMPLEX(0,$B54,"j"),COMPLEX($D$19,0,"j"))</f>
        <v>1594.32156636146+23.506280746127j</v>
      </c>
      <c r="AH54" s="12">
        <f>IMABS(AG54)</f>
        <v>1594.4948423246076</v>
      </c>
      <c r="AI54" s="35">
        <f>180/PI()*IMARGUMENT($AG54)</f>
        <v>0.8446935240968922</v>
      </c>
      <c r="AJ54" s="55" t="str">
        <f>IMDIV(COMPLEX(0,$B54,"j"),COMPLEX(1/$D$26,$B54,"j"))</f>
        <v>0.999989115187865+3.29919591045272E-003j</v>
      </c>
      <c r="AK54" s="35">
        <f>IMABS(AJ54)</f>
        <v>0.9999945575791224</v>
      </c>
      <c r="AL54" s="13">
        <f>180/PI()*IMARGUMENT($AJ54)</f>
        <v>0.18903137317174248</v>
      </c>
      <c r="AM54" s="36" t="str">
        <f>IMPRODUCT(AG54,AJ54)</f>
        <v>1594.22666064542+28.7660040763634j</v>
      </c>
      <c r="AN54" s="35">
        <f>IMABS(AM54)</f>
        <v>1594.4861644125888</v>
      </c>
      <c r="AO54" s="57">
        <f>180/PI()*IMARGUMENT($AM54)</f>
        <v>1.033724897268635</v>
      </c>
      <c r="AP54" s="203">
        <f t="shared" si="22"/>
        <v>143774.20939149457</v>
      </c>
      <c r="AQ54" s="133">
        <f t="shared" si="23"/>
        <v>99843.20096631568</v>
      </c>
      <c r="AR54" s="134">
        <f t="shared" si="24"/>
        <v>13121.935613984619</v>
      </c>
      <c r="AS54" s="138">
        <f t="shared" si="25"/>
        <v>4709744.805394291</v>
      </c>
      <c r="AT54" s="139">
        <f t="shared" si="26"/>
        <v>1598.3734951313543</v>
      </c>
      <c r="AU54" s="106">
        <f>IF($D$40,IMDIV(COMPLEX($D$35,$B54,"j"),COMPLEX($D$34,$B54,"j")),1)</f>
        <v>1</v>
      </c>
      <c r="AV54" s="107">
        <f>IMABS(AU54)</f>
        <v>1</v>
      </c>
      <c r="AW54">
        <f t="shared" si="13"/>
        <v>3763.998301433154</v>
      </c>
      <c r="AX54" s="6">
        <f t="shared" si="14"/>
        <v>0.8372439515004486</v>
      </c>
    </row>
    <row r="55" spans="1:50" ht="15" customHeight="1">
      <c r="A55" s="60">
        <v>0.7</v>
      </c>
      <c r="B55" s="124">
        <f t="shared" si="11"/>
        <v>4.39822971502571</v>
      </c>
      <c r="D55" s="154">
        <f>$D$44/(2*E55)</f>
        <v>15.707963267948966</v>
      </c>
      <c r="E55" s="11">
        <v>0.1</v>
      </c>
      <c r="H55" s="9" t="str">
        <f>IMDIV(COMPLEX(0,$D$14*$B55,"j"),COMPLEX(1,$B55*$D$20*$D$14,"j"))</f>
        <v>8.98834175045683E-008+1.05997259912897E-004j</v>
      </c>
      <c r="I55" s="10" t="str">
        <f>COMPLEX(1/$D$16,0,"j")</f>
        <v>1.72117039586919E-006</v>
      </c>
      <c r="J55" s="10" t="str">
        <f>IMPRODUCT(1/$D$17,IMDIV(COMPLEX(1/$D$15,0,"j"),COMPLEX(1/$D$15,$B55,"j")))</f>
        <v>7.47385787618728E-011-2.64288820127284E-008j</v>
      </c>
      <c r="K55" s="11" t="str">
        <f>IMSUM($H55,$I55,$J55)</f>
        <v>1.81112855195252E-006+1.05970831030884E-004j</v>
      </c>
      <c r="L55" s="116" t="str">
        <f>COMPLEX($D$18,0,"j")</f>
        <v>12.98</v>
      </c>
      <c r="M55" s="9" t="str">
        <f>IMPRODUCT($L55,$K55)</f>
        <v>2.35084486043437E-005+1.37550138678087E-003j</v>
      </c>
      <c r="N55" s="11">
        <f>IMABS($M55)</f>
        <v>0.0013757022614620795</v>
      </c>
      <c r="O55" s="18">
        <f t="shared" si="12"/>
        <v>726.9014728064866</v>
      </c>
      <c r="P55" s="18">
        <f t="shared" si="17"/>
        <v>363.4507364032433</v>
      </c>
      <c r="Q55" s="115">
        <f t="shared" si="18"/>
        <v>1598.5398287967214</v>
      </c>
      <c r="R55" s="9" t="str">
        <f>IMDIV(COMPLEX(1/$D$29,0,"j"),COMPLEX(1-$B55*$B55*$D$30*$D$30,$B55*2*$D$21*$D$30,"j"))</f>
        <v>-0.194536672593289-5.67398628397093E-002j</v>
      </c>
      <c r="S55" s="11">
        <f>IMABS($R55)</f>
        <v>0.20264236728467605</v>
      </c>
      <c r="T55" s="34" t="str">
        <f>IMPRODUCT(IMDIV($D$23,COMPLEX(1,$B55*$D$31,"j")),$AU55)</f>
        <v>376399.537612612-417.183891024532j</v>
      </c>
      <c r="U55" s="21">
        <f>IMABS($T55)</f>
        <v>376399.7688062349</v>
      </c>
      <c r="V55" s="9" t="str">
        <f>IMPRODUCT($R55,$T55)</f>
        <v>-73247.1845695657-21275.7005710502j</v>
      </c>
      <c r="W55" s="134">
        <f>IMABS($V55)</f>
        <v>76274.54019630015</v>
      </c>
      <c r="X55" s="10">
        <f t="shared" si="19"/>
        <v>38137.270098150075</v>
      </c>
      <c r="Y55" s="21">
        <f t="shared" si="20"/>
        <v>167736.47459564515</v>
      </c>
      <c r="Z55" s="10" t="str">
        <f>IMPRODUCT($M55,$V55)</f>
        <v>27.5428279663476-101.251762666628j</v>
      </c>
      <c r="AA55" s="18">
        <f>IMABS($Z55)</f>
        <v>104.93105744003051</v>
      </c>
      <c r="AB55" s="13">
        <f>180/PI()*IMARGUMENT($Z55)</f>
        <v>-74.78243587652857</v>
      </c>
      <c r="AC55" s="9" t="str">
        <f>IMDIV($V55,IMSUM(1,IMPRODUCT($V55,$M55)))</f>
        <v>5.73982298213313-725.034443017137j</v>
      </c>
      <c r="AD55" s="18">
        <f>IMABS($AC55)</f>
        <v>725.0571626630804</v>
      </c>
      <c r="AE55" s="16">
        <f>180/PI()*IMARGUMENT($AC55)</f>
        <v>-89.54642049754682</v>
      </c>
      <c r="AF55" s="33">
        <f t="shared" si="21"/>
        <v>362.5285813315402</v>
      </c>
      <c r="AG55" s="9" t="str">
        <f>IMPRODUCT($AC55,COMPLEX(0,$B55,"j"),COMPLEX($D$19,0,"j"))</f>
        <v>1594.43401584754+12.6225299995027j</v>
      </c>
      <c r="AH55" s="12">
        <f>IMABS(AG55)</f>
        <v>1594.4839789584912</v>
      </c>
      <c r="AI55" s="35">
        <f>180/PI()*IMARGUMENT($AG55)</f>
        <v>0.45357950245317835</v>
      </c>
      <c r="AJ55" s="55" t="str">
        <f>IMDIV(COMPLEX(0,$B55,"j"),COMPLEX(1/$D$26,$B55,"j"))</f>
        <v>0.999992002972072+2.82789037536194E-003j</v>
      </c>
      <c r="AK55" s="35">
        <f>IMABS(AJ55)</f>
        <v>0.9999960014780417</v>
      </c>
      <c r="AL55" s="13">
        <f>180/PI()*IMARGUMENT($AJ55)</f>
        <v>0.1620270472580411</v>
      </c>
      <c r="AM55" s="36" t="str">
        <f>IMPRODUCT(AG55,AJ55)</f>
        <v>1594.38556998309+17.1313136643427j</v>
      </c>
      <c r="AN55" s="35">
        <f>IMABS(AM55)</f>
        <v>1594.4776033792912</v>
      </c>
      <c r="AO55" s="57">
        <f>180/PI()*IMARGUMENT($AM55)</f>
        <v>0.6156065497112179</v>
      </c>
      <c r="AP55" s="203">
        <f t="shared" si="22"/>
        <v>167736.57762341035</v>
      </c>
      <c r="AQ55" s="133">
        <f t="shared" si="23"/>
        <v>85579.8865425563</v>
      </c>
      <c r="AR55" s="134">
        <f t="shared" si="24"/>
        <v>15308.924882982054</v>
      </c>
      <c r="AS55" s="138">
        <f t="shared" si="25"/>
        <v>6410485.985120008</v>
      </c>
      <c r="AT55" s="139">
        <f t="shared" si="26"/>
        <v>1598.3734951313543</v>
      </c>
      <c r="AU55" s="106">
        <f>IF($D$40,IMDIV(COMPLEX($D$35,$B55,"j"),COMPLEX($D$34,$B55,"j")),1)</f>
        <v>1</v>
      </c>
      <c r="AV55" s="107">
        <f>IMABS(AU55)</f>
        <v>1</v>
      </c>
      <c r="AW55">
        <f t="shared" si="13"/>
        <v>3763.997688062349</v>
      </c>
      <c r="AX55" s="6">
        <f t="shared" si="14"/>
        <v>0.7160856329462428</v>
      </c>
    </row>
    <row r="56" spans="1:50" ht="15" customHeight="1" thickBot="1">
      <c r="A56" s="60">
        <v>0.8</v>
      </c>
      <c r="B56" s="124">
        <f t="shared" si="11"/>
        <v>5.026548245743669</v>
      </c>
      <c r="D56" s="194">
        <f>$D$44/(2*E56)</f>
        <v>1.5707963267948966</v>
      </c>
      <c r="E56" s="83">
        <v>1</v>
      </c>
      <c r="H56" s="9" t="str">
        <f>IMDIV(COMPLEX(0,$D$14*$B56,"j"),COMPLEX(1,$B56*$D$20*$D$14,"j"))</f>
        <v>1.17398723551602E-007+1.21139698949147E-004j</v>
      </c>
      <c r="I56" s="10" t="str">
        <f>COMPLEX(1/$D$16,0,"j")</f>
        <v>1.72117039586919E-006</v>
      </c>
      <c r="J56" s="10" t="str">
        <f>IMPRODUCT(1/$D$17,IMDIV(COMPLEX(1/$D$15,0,"j"),COMPLEX(1/$D$15,$B56,"j")))</f>
        <v>5.72218316156336E-011-2.31253151049946E-008j</v>
      </c>
      <c r="K56" s="11" t="str">
        <f>IMSUM($H56,$I56,$J56)</f>
        <v>1.83862634125241E-006+1.21116573634042E-004j</v>
      </c>
      <c r="L56" s="116" t="str">
        <f>COMPLEX($D$18,0,"j")</f>
        <v>12.98</v>
      </c>
      <c r="M56" s="9" t="str">
        <f>IMPRODUCT($L56,$K56)</f>
        <v>2.38653699094563E-005+1.57209312576987E-003j</v>
      </c>
      <c r="N56" s="11">
        <f>IMABS($M56)</f>
        <v>0.0015722742610542843</v>
      </c>
      <c r="O56" s="18">
        <f t="shared" si="12"/>
        <v>636.0213512173459</v>
      </c>
      <c r="P56" s="18">
        <f t="shared" si="17"/>
        <v>318.01067560867295</v>
      </c>
      <c r="Q56" s="115">
        <f t="shared" si="18"/>
        <v>1598.496003608534</v>
      </c>
      <c r="R56" s="9" t="str">
        <f>IMDIV(COMPLEX(1/$D$29,0,"j"),COMPLEX(1-$B56*$B56*$D$30*$D$30,$B56*2*$D$21*$D$30,"j"))</f>
        <v>-0.124653822146725-2.55700147993282E-002j</v>
      </c>
      <c r="S56" s="11">
        <f>IMABS($R56)</f>
        <v>0.1272493655490086</v>
      </c>
      <c r="T56" s="34" t="str">
        <f>IMPRODUCT(IMDIV($D$23,COMPLEX(1,$B56*$D$31,"j")),$AU56)</f>
        <v>376399.39606568-476.781410446214j</v>
      </c>
      <c r="U56" s="21">
        <f>IMABS($T56)</f>
        <v>376399.6980327189</v>
      </c>
      <c r="V56" s="9" t="str">
        <f>IMPRODUCT($R56,$T56)</f>
        <v>-46931.8146810271-9565.10550271701j</v>
      </c>
      <c r="W56" s="134">
        <f>IMABS($V56)</f>
        <v>47896.62276750186</v>
      </c>
      <c r="X56" s="10">
        <f t="shared" si="19"/>
        <v>23948.31138375093</v>
      </c>
      <c r="Y56" s="21">
        <f t="shared" si="20"/>
        <v>120377.34257451637</v>
      </c>
      <c r="Z56" s="10" t="str">
        <f>IMPRODUCT($M56,$V56)</f>
        <v>13.9171914902002-74.0094580209935j</v>
      </c>
      <c r="AA56" s="18">
        <f>IMABS($Z56)</f>
        <v>75.30662716876982</v>
      </c>
      <c r="AB56" s="13">
        <f>180/PI()*IMARGUMENT($Z56)</f>
        <v>-79.35011998782443</v>
      </c>
      <c r="AC56" s="9" t="str">
        <f>IMDIV($V56,IMSUM(1,IMPRODUCT($V56,$M56)))</f>
        <v>1.37149366850213-634.409098109991j</v>
      </c>
      <c r="AD56" s="18">
        <f>IMABS($AC56)</f>
        <v>634.4105805861177</v>
      </c>
      <c r="AE56" s="16">
        <f>180/PI()*IMARGUMENT($AC56)</f>
        <v>-89.87613564078622</v>
      </c>
      <c r="AF56" s="33">
        <f t="shared" si="21"/>
        <v>317.20529029305885</v>
      </c>
      <c r="AG56" s="9" t="str">
        <f>IMPRODUCT($AC56,COMPLEX(0,$B56,"j"),COMPLEX($D$19,0,"j"))</f>
        <v>1594.4439695943+3.44693954672897j</v>
      </c>
      <c r="AH56" s="12">
        <f>IMABS(AG56)</f>
        <v>1594.447695463187</v>
      </c>
      <c r="AI56" s="35">
        <f>180/PI()*IMARGUMENT($AG56)</f>
        <v>0.12386435921378991</v>
      </c>
      <c r="AJ56" s="55" t="str">
        <f>IMDIV(COMPLEX(0,$B56,"j"),COMPLEX(1/$D$26,$B56,"j"))</f>
        <v>0.999993877264017+2.47440871623442E-003j</v>
      </c>
      <c r="AK56" s="35">
        <f>IMABS(AJ56)</f>
        <v>0.9999969386273224</v>
      </c>
      <c r="AL56" s="13">
        <f>180/PI()*IMARGUMENT($AJ56)</f>
        <v>0.14177375492660266</v>
      </c>
      <c r="AM56" s="36" t="str">
        <f>IMPRODUCT(AG56,AJ56)</f>
        <v>1594.42567809758+7.39222449793972j</v>
      </c>
      <c r="AN56" s="35">
        <f>IMABS(AM56)</f>
        <v>1594.4428142645806</v>
      </c>
      <c r="AO56" s="57">
        <f>180/PI()*IMARGUMENT($AM56)</f>
        <v>0.26563811414039185</v>
      </c>
      <c r="AP56" s="203">
        <f t="shared" si="22"/>
        <v>191698.94585532608</v>
      </c>
      <c r="AQ56" s="133">
        <f t="shared" si="23"/>
        <v>74882.40072473676</v>
      </c>
      <c r="AR56" s="134">
        <f t="shared" si="24"/>
        <v>17495.91415197949</v>
      </c>
      <c r="AS56" s="138">
        <f t="shared" si="25"/>
        <v>8372879.654034296</v>
      </c>
      <c r="AT56" s="139">
        <f t="shared" si="26"/>
        <v>1598.3734951313543</v>
      </c>
      <c r="AU56" s="106">
        <f>IF($D$40,IMDIV(COMPLEX($D$35,$B56,"j"),COMPLEX($D$34,$B56,"j")),1)</f>
        <v>1</v>
      </c>
      <c r="AV56" s="107">
        <f>IMABS(AU56)</f>
        <v>1</v>
      </c>
      <c r="AW56">
        <f t="shared" si="13"/>
        <v>3763.9969803271892</v>
      </c>
      <c r="AX56" s="6">
        <f t="shared" si="14"/>
        <v>0.6254300845806033</v>
      </c>
    </row>
    <row r="57" spans="1:50" ht="15" customHeight="1">
      <c r="A57" s="60">
        <v>0.9</v>
      </c>
      <c r="B57" s="124">
        <f t="shared" si="11"/>
        <v>5.654866776461628</v>
      </c>
      <c r="H57" s="9" t="str">
        <f>IMDIV(COMPLEX(0,$D$14*$B57,"j"),COMPLEX(1,$B57*$D$20*$D$14,"j"))</f>
        <v>1.48582722427725E-007+1.36282127319176E-004j</v>
      </c>
      <c r="I57" s="10" t="str">
        <f>COMPLEX(1/$D$16,0,"j")</f>
        <v>1.72117039586919E-006</v>
      </c>
      <c r="J57" s="10" t="str">
        <f>IMPRODUCT(1/$D$17,IMDIV(COMPLEX(1/$D$15,0,"j"),COMPLEX(1/$D$15,$B57,"j")))</f>
        <v>4.52123694987453E-011-2.05558620635505E-008j</v>
      </c>
      <c r="K57" s="11" t="str">
        <f>IMSUM($H57,$I57,$J57)</f>
        <v>1.86979833066641E-006+1.36261571457112E-004j</v>
      </c>
      <c r="L57" s="116" t="str">
        <f>COMPLEX($D$18,0,"j")</f>
        <v>12.98</v>
      </c>
      <c r="M57" s="9" t="str">
        <f>IMPRODUCT($L57,$K57)</f>
        <v>2.426998233205E-005+1.76867519751331E-003j</v>
      </c>
      <c r="N57" s="11">
        <f>IMABS($M57)</f>
        <v>0.0017688417075422955</v>
      </c>
      <c r="O57" s="18">
        <f t="shared" si="12"/>
        <v>565.3417124528587</v>
      </c>
      <c r="P57" s="18">
        <f t="shared" si="17"/>
        <v>282.67085622642935</v>
      </c>
      <c r="Q57" s="115">
        <f t="shared" si="18"/>
        <v>1598.4660335487968</v>
      </c>
      <c r="R57" s="9" t="str">
        <f>IMDIV(COMPLEX(1/$D$29,0,"j"),COMPLEX(1-$B57*$B57*$D$30*$D$30,$B57*2*$D$21*$D$30,"j"))</f>
        <v>-8.81875393840679E-002-1.41729974010109E-002j</v>
      </c>
      <c r="S57" s="11">
        <f>IMABS($R57)</f>
        <v>0.08931918023552157</v>
      </c>
      <c r="T57" s="34" t="str">
        <f>IMPRODUCT(IMDIV($D$23,COMPLEX(1,$B57*$D$31,"j")),$AU57)</f>
        <v>376399.235645952-536.378858149641j</v>
      </c>
      <c r="U57" s="21">
        <f>IMABS($T57)</f>
        <v>376399.617822782</v>
      </c>
      <c r="V57" s="9" t="str">
        <f>IMPRODUCT($R57,$T57)</f>
        <v>-33201.324513823-5287.40345687471j</v>
      </c>
      <c r="W57" s="134">
        <f>IMABS($V57)</f>
        <v>33619.70530489455</v>
      </c>
      <c r="X57" s="10">
        <f t="shared" si="19"/>
        <v>16809.852652447276</v>
      </c>
      <c r="Y57" s="21">
        <f t="shared" si="20"/>
        <v>95057.47728153947</v>
      </c>
      <c r="Z57" s="10" t="str">
        <f>IMPRODUCT($M57,$V57)</f>
        <v>8.54590379406929-58.8506843806702j</v>
      </c>
      <c r="AA57" s="18">
        <f>IMABS($Z57)</f>
        <v>59.46793693857848</v>
      </c>
      <c r="AB57" s="13">
        <f>180/PI()*IMARGUMENT($Z57)</f>
        <v>-81.7376419750099</v>
      </c>
      <c r="AC57" s="9" t="str">
        <f>IMDIV($V57,IMSUM(1,IMPRODUCT($V57,$M57)))</f>
        <v>-1.62309558291956-563.898805065382j</v>
      </c>
      <c r="AD57" s="18">
        <f>IMABS($AC57)</f>
        <v>563.9011409754701</v>
      </c>
      <c r="AE57" s="16">
        <f>180/PI()*IMARGUMENT($AC57)</f>
        <v>-90.16491659317606</v>
      </c>
      <c r="AF57" s="33">
        <f t="shared" si="21"/>
        <v>281.95057048773504</v>
      </c>
      <c r="AG57" s="9" t="str">
        <f>IMPRODUCT($AC57,COMPLEX(0,$B57,"j"),COMPLEX($D$19,0,"j"))</f>
        <v>1594.38630902532-4.58919464343672j</v>
      </c>
      <c r="AH57" s="12">
        <f>IMABS(AG57)</f>
        <v>1594.392913655495</v>
      </c>
      <c r="AI57" s="35">
        <f>180/PI()*IMARGUMENT($AG57)</f>
        <v>-0.1649165931760529</v>
      </c>
      <c r="AJ57" s="55" t="str">
        <f>IMDIV(COMPLEX(0,$B57,"j"),COMPLEX(1/$D$26,$B57,"j"))</f>
        <v>0.999995162276464+2.1994772407999E-003j</v>
      </c>
      <c r="AK57" s="35">
        <f>IMABS(AJ57)</f>
        <v>0.9999975811353067</v>
      </c>
      <c r="AL57" s="13">
        <f>180/PI()*IMARGUMENT($AJ57)</f>
        <v>0.12602116947022762</v>
      </c>
      <c r="AM57" s="36" t="str">
        <f>IMPRODUCT(AG57,AJ57)</f>
        <v>1594.38868965432-1.08235604243763j</v>
      </c>
      <c r="AN57" s="35">
        <f>IMABS(AM57)</f>
        <v>1594.3890570347696</v>
      </c>
      <c r="AO57" s="57">
        <f>180/PI()*IMARGUMENT($AM57)</f>
        <v>-0.038895423705825105</v>
      </c>
      <c r="AP57" s="203">
        <f t="shared" si="22"/>
        <v>215661.31408724183</v>
      </c>
      <c r="AQ57" s="133">
        <f t="shared" si="23"/>
        <v>66562.13397754378</v>
      </c>
      <c r="AR57" s="134">
        <f t="shared" si="24"/>
        <v>19682.903420976927</v>
      </c>
      <c r="AS57" s="138">
        <f t="shared" si="25"/>
        <v>10596925.812137155</v>
      </c>
      <c r="AT57" s="139">
        <f t="shared" si="26"/>
        <v>1598.3734951313543</v>
      </c>
      <c r="AU57" s="106">
        <f>IF($D$40,IMDIV(COMPLEX($D$35,$B57,"j"),COMPLEX($D$34,$B57,"j")),1)</f>
        <v>1</v>
      </c>
      <c r="AV57" s="107">
        <f>IMABS(AU57)</f>
        <v>1</v>
      </c>
      <c r="AW57">
        <f t="shared" si="13"/>
        <v>3763.99617822782</v>
      </c>
      <c r="AX57" s="6">
        <f t="shared" si="14"/>
        <v>0.5550465537247653</v>
      </c>
    </row>
    <row r="58" spans="1:50" ht="15" customHeight="1">
      <c r="A58" s="60">
        <v>1</v>
      </c>
      <c r="B58" s="124">
        <f t="shared" si="11"/>
        <v>6.283185307179586</v>
      </c>
      <c r="H58" s="9" t="str">
        <f>IMDIV(COMPLEX(0,$D$14*$B58,"j"),COMPLEX(1,$B58*$D$20*$D$14,"j"))</f>
        <v>1.83435408641506E-007+1.51424543689718E-004j</v>
      </c>
      <c r="I58" s="10" t="str">
        <f>COMPLEX(1/$D$16,0,"j")</f>
        <v>1.72117039586919E-006</v>
      </c>
      <c r="J58" s="10" t="str">
        <f>IMPRODUCT(1/$D$17,IMDIV(COMPLEX(1/$D$15,0,"j"),COMPLEX(1/$D$15,$B58,"j")))</f>
        <v>3.66220529557836E-011-1.85002928620628E-008j</v>
      </c>
      <c r="K58" s="11" t="str">
        <f>IMSUM($H58,$I58,$J58)</f>
        <v>1.90464242656365E-006+1.51406043396856E-004j</v>
      </c>
      <c r="L58" s="116" t="str">
        <f>COMPLEX($D$18,0,"j")</f>
        <v>12.98</v>
      </c>
      <c r="M58" s="9" t="str">
        <f>IMPRODUCT($L58,$K58)</f>
        <v>2.47222586967962E-005+1.96525044329119E-003j</v>
      </c>
      <c r="N58" s="11">
        <f>IMABS($M58)</f>
        <v>0.0019654059364241504</v>
      </c>
      <c r="O58" s="18">
        <f t="shared" si="12"/>
        <v>508.8007426187971</v>
      </c>
      <c r="P58" s="18">
        <f t="shared" si="17"/>
        <v>254.40037130939854</v>
      </c>
      <c r="Q58" s="115">
        <f t="shared" si="18"/>
        <v>1598.4446751522441</v>
      </c>
      <c r="R58" s="9" t="str">
        <f>IMDIV(COMPLEX(1/$D$29,0,"j"),COMPLEX(1-$B58*$B58*$D$30*$D$30,$B58*2*$D$21*$D$30,"j"))</f>
        <v>-6.63675875386493E-002-8.84901167181991E-003j</v>
      </c>
      <c r="S58" s="11">
        <f>IMABS($R58)</f>
        <v>0.06695492277098289</v>
      </c>
      <c r="T58" s="34" t="str">
        <f>IMPRODUCT(IMDIV($D$23,COMPLEX(1,$B58*$D$31,"j")),$AU58)</f>
        <v>376399.056353476-595.976225170141j</v>
      </c>
      <c r="U58" s="21">
        <f>IMABS($T58)</f>
        <v>376399.528176442</v>
      </c>
      <c r="V58" s="9" t="str">
        <f>IMPRODUCT($R58,$T58)</f>
        <v>-24985.971122577-3291.20613863898j</v>
      </c>
      <c r="W58" s="134">
        <f>IMABS($V58)</f>
        <v>25201.801340088106</v>
      </c>
      <c r="X58" s="10">
        <f t="shared" si="19"/>
        <v>12600.900670044053</v>
      </c>
      <c r="Y58" s="21">
        <f t="shared" si="20"/>
        <v>79173.7939472502</v>
      </c>
      <c r="Z58" s="10" t="str">
        <f>IMPRODUCT($M58,$V58)</f>
        <v>5.85033468103991-49.1850568742892j</v>
      </c>
      <c r="AA58" s="18">
        <f>IMABS($Z58)</f>
        <v>49.53176996239122</v>
      </c>
      <c r="AB58" s="13">
        <f>180/PI()*IMARGUMENT($Z58)</f>
        <v>-83.21680218955498</v>
      </c>
      <c r="AC58" s="9" t="str">
        <f>IMDIV($V58,IMSUM(1,IMPRODUCT($V58,$M58)))</f>
        <v>-3.76469529148466-507.474897582273j</v>
      </c>
      <c r="AD58" s="18">
        <f>IMABS($AC58)</f>
        <v>507.48886155932155</v>
      </c>
      <c r="AE58" s="16">
        <f>180/PI()*IMARGUMENT($AC58)</f>
        <v>-90.42504012622574</v>
      </c>
      <c r="AF58" s="33">
        <f t="shared" si="21"/>
        <v>253.74443077966077</v>
      </c>
      <c r="AG58" s="9" t="str">
        <f>IMPRODUCT($AC58,COMPLEX(0,$B58,"j"),COMPLEX($D$19,0,"j"))</f>
        <v>1594.2794101257-11.8271390707323j</v>
      </c>
      <c r="AH58" s="12">
        <f>IMABS(AG58)</f>
        <v>1594.3232792534106</v>
      </c>
      <c r="AI58" s="35">
        <f>180/PI()*IMARGUMENT($AG58)</f>
        <v>-0.42504012622573706</v>
      </c>
      <c r="AJ58" s="55" t="str">
        <f>IMDIV(COMPLEX(0,$B58,"j"),COMPLEX(1/$D$26,$B58,"j"))</f>
        <v>0.999996081440334+1.97953133624072E-003j</v>
      </c>
      <c r="AK58" s="35">
        <f>IMABS(AJ58)</f>
        <v>0.9999980407182478</v>
      </c>
      <c r="AL58" s="13">
        <f>180/PI()*IMARGUMENT($AJ58)</f>
        <v>0.11341908727361415</v>
      </c>
      <c r="AM58" s="36" t="str">
        <f>IMPRODUCT(AG58,AJ58)</f>
        <v>1594.29657503912-8.67116667431498j</v>
      </c>
      <c r="AN58" s="35">
        <f>IMABS(AM58)</f>
        <v>1594.3201555249066</v>
      </c>
      <c r="AO58" s="57">
        <f>180/PI()*IMARGUMENT($AM58)</f>
        <v>-0.31162103895212206</v>
      </c>
      <c r="AP58" s="203">
        <f t="shared" si="22"/>
        <v>239623.68231915767</v>
      </c>
      <c r="AQ58" s="133">
        <f t="shared" si="23"/>
        <v>59905.92057978941</v>
      </c>
      <c r="AR58" s="134">
        <f t="shared" si="24"/>
        <v>21869.892689974364</v>
      </c>
      <c r="AS58" s="138">
        <f t="shared" si="25"/>
        <v>13082624.459428586</v>
      </c>
      <c r="AT58" s="139">
        <f t="shared" si="26"/>
        <v>1598.3734951313543</v>
      </c>
      <c r="AU58" s="106">
        <f>IF($D$40,IMDIV(COMPLEX($D$35,$B58,"j"),COMPLEX($D$34,$B58,"j")),1)</f>
        <v>1</v>
      </c>
      <c r="AV58" s="107">
        <f>IMABS(AU58)</f>
        <v>1</v>
      </c>
      <c r="AW58">
        <f t="shared" si="13"/>
        <v>3763.9952817644203</v>
      </c>
      <c r="AX58" s="6">
        <f t="shared" si="14"/>
        <v>0.4988193329827063</v>
      </c>
    </row>
    <row r="59" spans="1:50" ht="15" customHeight="1">
      <c r="A59" s="60">
        <v>1.5</v>
      </c>
      <c r="B59" s="124">
        <f t="shared" si="11"/>
        <v>9.42477796076938</v>
      </c>
      <c r="H59" s="9" t="str">
        <f>IMDIV(COMPLEX(0,$D$14*$B59,"j"),COMPLEX(1,$B59*$D$20*$D$14,"j"))</f>
        <v>4.12728912352424E-007+2.27136398885995E-004j</v>
      </c>
      <c r="I59" s="10" t="str">
        <f>COMPLEX(1/$D$16,0,"j")</f>
        <v>1.72117039586919E-006</v>
      </c>
      <c r="J59" s="10" t="str">
        <f>IMPRODUCT(1/$D$17,IMDIV(COMPLEX(1/$D$15,0,"j"),COMPLEX(1/$D$15,$B59,"j")))</f>
        <v>1.62765034139315E-011-1.23335554245823E-008j</v>
      </c>
      <c r="K59" s="11" t="str">
        <f>IMSUM($H59,$I59,$J59)</f>
        <v>2.13391558472503E-006+2.2712406533057E-004j</v>
      </c>
      <c r="L59" s="116" t="str">
        <f>COMPLEX($D$18,0,"j")</f>
        <v>12.98</v>
      </c>
      <c r="M59" s="9" t="str">
        <f>IMPRODUCT($L59,$K59)</f>
        <v>2.76982242897309E-005+2.9480703679908E-003j</v>
      </c>
      <c r="N59" s="11">
        <f>IMABS($M59)</f>
        <v>0.0029482004827104643</v>
      </c>
      <c r="O59" s="18">
        <f t="shared" si="12"/>
        <v>339.1899587102156</v>
      </c>
      <c r="P59" s="18">
        <f t="shared" si="17"/>
        <v>169.5949793551078</v>
      </c>
      <c r="Q59" s="115">
        <f t="shared" si="18"/>
        <v>1598.395023683158</v>
      </c>
      <c r="R59" s="9" t="str">
        <f>IMDIV(COMPLEX(1/$D$29,0,"j"),COMPLEX(1-$B59*$B59*$D$30*$D$30,$B59*2*$D$21*$D$30,"j"))</f>
        <v>-2.51886099794501E-002-1.88914574845876E-003j</v>
      </c>
      <c r="S59" s="11">
        <f>IMABS($R59)</f>
        <v>0.02525935360130526</v>
      </c>
      <c r="T59" s="34" t="str">
        <f>IMPRODUCT(IMDIV($D$23,COMPLEX(1,$B59*$D$31,"j")),$AU59)</f>
        <v>376397.876801976-893.961536268438j</v>
      </c>
      <c r="U59" s="21">
        <f>IMABS($T59)</f>
        <v>376398.9383994911</v>
      </c>
      <c r="V59" s="9" t="str">
        <f>IMPRODUCT($R59,$T59)</f>
        <v>-9482.62813949361-688.552800215661j</v>
      </c>
      <c r="W59" s="134">
        <f>IMABS($V59)</f>
        <v>9507.59388018866</v>
      </c>
      <c r="X59" s="10">
        <f t="shared" si="19"/>
        <v>4753.79694009433</v>
      </c>
      <c r="Y59" s="21">
        <f t="shared" si="20"/>
        <v>44803.48063097396</v>
      </c>
      <c r="Z59" s="10" t="str">
        <f>IMPRODUCT($M59,$V59)</f>
        <v>1.76725014604907-27.9745267186125j</v>
      </c>
      <c r="AA59" s="18">
        <f>IMABS($Z59)</f>
        <v>28.030292866987224</v>
      </c>
      <c r="AB59" s="13">
        <f>180/PI()*IMARGUMENT($Z59)</f>
        <v>-86.38522586546226</v>
      </c>
      <c r="AC59" s="9" t="str">
        <f>IMDIV($V59,IMSUM(1,IMPRODUCT($V59,$M59)))</f>
        <v>-8.83141533122649-338.100068654086j</v>
      </c>
      <c r="AD59" s="18">
        <f>IMABS($AC59)</f>
        <v>338.2153904254658</v>
      </c>
      <c r="AE59" s="16">
        <f>180/PI()*IMARGUMENT($AC59)</f>
        <v>-91.496266458021</v>
      </c>
      <c r="AF59" s="33">
        <f t="shared" si="21"/>
        <v>169.1076952127329</v>
      </c>
      <c r="AG59" s="9" t="str">
        <f>IMPRODUCT($AC59,COMPLEX(0,$B59,"j"),COMPLEX($D$19,0,"j"))</f>
        <v>1593.25903779282-41.6170642880721j</v>
      </c>
      <c r="AH59" s="12">
        <f>IMABS(AG59)</f>
        <v>1593.8024788374687</v>
      </c>
      <c r="AI59" s="35">
        <f>180/PI()*IMARGUMENT($AG59)</f>
        <v>-1.4962664580209897</v>
      </c>
      <c r="AJ59" s="55" t="str">
        <f>IMDIV(COMPLEX(0,$B59,"j"),COMPLEX(1/$D$26,$B59,"j"))</f>
        <v>0.999998258414135+1.31969043043031E-003j</v>
      </c>
      <c r="AK59" s="35">
        <f>IMABS(AJ59)</f>
        <v>0.9999991292066887</v>
      </c>
      <c r="AL59" s="13">
        <f>180/PI()*IMARGUMENT($AJ59)</f>
        <v>0.0756127797182457</v>
      </c>
      <c r="AM59" s="36" t="str">
        <f>IMPRODUCT(AG59,AJ59)</f>
        <v>1593.31118463688-39.5143831030094j</v>
      </c>
      <c r="AN59" s="35">
        <f>IMABS(AM59)</f>
        <v>1593.8010909649263</v>
      </c>
      <c r="AO59" s="57">
        <f>180/PI()*IMARGUMENT($AM59)</f>
        <v>-1.4206536783027475</v>
      </c>
      <c r="AP59" s="203">
        <f t="shared" si="22"/>
        <v>359435.52347873646</v>
      </c>
      <c r="AQ59" s="133">
        <f t="shared" si="23"/>
        <v>39937.28038652627</v>
      </c>
      <c r="AR59" s="138">
        <f t="shared" si="24"/>
        <v>32804.839034961544</v>
      </c>
      <c r="AS59" s="138">
        <f t="shared" si="25"/>
        <v>29435905.03371432</v>
      </c>
      <c r="AT59" s="139">
        <f t="shared" si="26"/>
        <v>1598.3734951313543</v>
      </c>
      <c r="AU59" s="106">
        <f>IF($D$40,IMDIV(COMPLEX($D$35,$B59,"j"),COMPLEX($D$34,$B59,"j")),1)</f>
        <v>1</v>
      </c>
      <c r="AV59" s="107">
        <f>IMABS(AU59)</f>
        <v>1</v>
      </c>
      <c r="AW59">
        <f t="shared" si="13"/>
        <v>3763.989383994911</v>
      </c>
      <c r="AX59" s="6">
        <f t="shared" si="14"/>
        <v>0.3305624695221833</v>
      </c>
    </row>
    <row r="60" spans="1:50" ht="15" customHeight="1">
      <c r="A60" s="60">
        <v>2</v>
      </c>
      <c r="B60" s="124">
        <f t="shared" si="11"/>
        <v>12.566370614359172</v>
      </c>
      <c r="H60" s="9" t="str">
        <f>IMDIV(COMPLEX(0,$D$14*$B60,"j"),COMPLEX(1,$B60*$D$20*$D$14,"j"))</f>
        <v>7.3373840431953E-007+3.02847754107398E-004j</v>
      </c>
      <c r="I60" s="10" t="str">
        <f>COMPLEX(1/$D$16,0,"j")</f>
        <v>1.72117039586919E-006</v>
      </c>
      <c r="J60" s="10" t="str">
        <f>IMPRODUCT(1/$D$17,IMDIV(COMPLEX(1/$D$15,0,"j"),COMPLEX(1/$D$15,$B60,"j")))</f>
        <v>9.15554014634362E-012-9.25017361654933E-009j</v>
      </c>
      <c r="K60" s="11" t="str">
        <f>IMSUM($H60,$I60,$J60)</f>
        <v>2.45491795572887E-006+3.02838503933781E-004j</v>
      </c>
      <c r="L60" s="116" t="str">
        <f>COMPLEX($D$18,0,"j")</f>
        <v>12.98</v>
      </c>
      <c r="M60" s="9" t="str">
        <f>IMPRODUCT($L60,$K60)</f>
        <v>3.18648350653607E-005+3.93084378106048E-003j</v>
      </c>
      <c r="N60" s="11">
        <f>IMABS($M60)</f>
        <v>0.003930972932852069</v>
      </c>
      <c r="O60" s="18">
        <f t="shared" si="12"/>
        <v>254.38994800568682</v>
      </c>
      <c r="P60" s="18">
        <f t="shared" si="17"/>
        <v>127.19497400284341</v>
      </c>
      <c r="Q60" s="115">
        <f t="shared" si="18"/>
        <v>1598.3791836035102</v>
      </c>
      <c r="R60" s="9" t="str">
        <f>IMDIV(COMPLEX(1/$D$29,0,"j"),COMPLEX(1-$B60*$B60*$D$30*$D$30,$B60*2*$D$21*$D$30,"j"))</f>
        <v>-1.34711731486888E-002-7.18462567930069E-004j</v>
      </c>
      <c r="S60" s="11">
        <f>IMABS($R60)</f>
        <v>0.013490318545663436</v>
      </c>
      <c r="T60" s="34" t="str">
        <f>IMPRODUCT(IMDIV($D$23,COMPLEX(1,$B60*$D$31,"j")),$AU60)</f>
        <v>376396.225442295-1191.94348562195j</v>
      </c>
      <c r="U60" s="21">
        <f>IMABS($T60)</f>
        <v>376398.11271641613</v>
      </c>
      <c r="V60" s="9" t="str">
        <f>IMPRODUCT($R60,$T60)</f>
        <v>-5071.35509222357-254.369721612191j</v>
      </c>
      <c r="W60" s="133">
        <f>IMABS($V60)</f>
        <v>5077.730440530986</v>
      </c>
      <c r="X60" s="10">
        <f t="shared" si="19"/>
        <v>2538.865220265493</v>
      </c>
      <c r="Y60" s="21">
        <f t="shared" si="20"/>
        <v>31904.32129776282</v>
      </c>
      <c r="Z60" s="10" t="str">
        <f>IMPRODUCT($M60,$V60)</f>
        <v>0.838289744717785-19.9428100750412j</v>
      </c>
      <c r="AA60" s="18">
        <f>IMABS($Z60)</f>
        <v>19.960420922046307</v>
      </c>
      <c r="AB60" s="13">
        <f>180/PI()*IMARGUMENT($Z60)</f>
        <v>-87.59300692459003</v>
      </c>
      <c r="AC60" s="9" t="str">
        <f>IMDIV($V60,IMSUM(1,IMPRODUCT($V60,$M60)))</f>
        <v>-10.5954279967433-253.31824384763j</v>
      </c>
      <c r="AD60" s="18">
        <f>IMABS($AC60)</f>
        <v>253.53973211408402</v>
      </c>
      <c r="AE60" s="16">
        <f>180/PI()*IMARGUMENT($AC60)</f>
        <v>-92.39508868925226</v>
      </c>
      <c r="AF60" s="33">
        <f t="shared" si="21"/>
        <v>126.76986605704201</v>
      </c>
      <c r="AG60" s="9" t="str">
        <f>IMPRODUCT($AC60,COMPLEX(0,$B60,"j"),COMPLEX($D$19,0,"j"))</f>
        <v>1591.64546778397-66.5730375124169j</v>
      </c>
      <c r="AH60" s="12">
        <f>IMABS(AG60)</f>
        <v>1593.0371196054666</v>
      </c>
      <c r="AI60" s="35">
        <f>180/PI()*IMARGUMENT($AG60)</f>
        <v>-2.395088689252257</v>
      </c>
      <c r="AJ60" s="55" t="str">
        <f>IMDIV(COMPLEX(0,$B60,"j"),COMPLEX(1/$D$26,$B60,"j"))</f>
        <v>0.999999020357204+9.89768576970778E-004j</v>
      </c>
      <c r="AK60" s="35">
        <f>IMABS(AJ60)</f>
        <v>0.999999510178482</v>
      </c>
      <c r="AL60" s="13">
        <f>180/PI()*IMARGUMENT($AJ60)</f>
        <v>0.05670959919186667</v>
      </c>
      <c r="AM60" s="36" t="str">
        <f>IMPRODUCT(AG60,AJ60)</f>
        <v>1591.70980044056-64.9976116249298j</v>
      </c>
      <c r="AN60" s="35">
        <f>IMABS(AM60)</f>
        <v>1593.0363393016094</v>
      </c>
      <c r="AO60" s="57">
        <f>180/PI()*IMARGUMENT($AM60)</f>
        <v>-2.338379090060387</v>
      </c>
      <c r="AP60" s="203">
        <f t="shared" si="22"/>
        <v>479247.36463831534</v>
      </c>
      <c r="AQ60" s="133">
        <f t="shared" si="23"/>
        <v>29952.960289894705</v>
      </c>
      <c r="AR60" s="138">
        <f t="shared" si="24"/>
        <v>43739.78537994873</v>
      </c>
      <c r="AS60" s="138">
        <f t="shared" si="25"/>
        <v>52330497.837714344</v>
      </c>
      <c r="AT60" s="139">
        <f t="shared" si="26"/>
        <v>1598.3734951313543</v>
      </c>
      <c r="AU60" s="106">
        <f>IF($D$40,IMDIV(COMPLEX($D$35,$B60,"j"),COMPLEX($D$34,$B60,"j")),1)</f>
        <v>1</v>
      </c>
      <c r="AV60" s="107">
        <f>IMABS(AU60)</f>
        <v>1</v>
      </c>
      <c r="AW60">
        <f t="shared" si="13"/>
        <v>3763.981127164161</v>
      </c>
      <c r="AX60" s="6">
        <f t="shared" si="14"/>
        <v>0.24667348793159408</v>
      </c>
    </row>
    <row r="61" spans="1:50" ht="15" customHeight="1">
      <c r="A61" s="60">
        <v>3</v>
      </c>
      <c r="B61" s="124">
        <f t="shared" si="11"/>
        <v>18.84955592153876</v>
      </c>
      <c r="H61" s="9" t="str">
        <f>IMDIV(COMPLEX(0,$D$14*$B61,"j"),COMPLEX(1,$B61*$D$20*$D$14,"j"))</f>
        <v>1.65089929643679E-006+4.54268298020136E-004j</v>
      </c>
      <c r="I61" s="10" t="str">
        <f>COMPLEX(1/$D$16,0,"j")</f>
        <v>1.72117039586919E-006</v>
      </c>
      <c r="J61" s="10" t="str">
        <f>IMPRODUCT(1/$D$17,IMDIV(COMPLEX(1/$D$15,0,"j"),COMPLEX(1/$D$15,$B61,"j")))</f>
        <v>4.06913116853885E-012-6.16678576728136E-009j</v>
      </c>
      <c r="K61" s="11" t="str">
        <f>IMSUM($H61,$I61,$J61)</f>
        <v>3.37207376143715E-006+4.54262131234369E-004j</v>
      </c>
      <c r="L61" s="116" t="str">
        <f>COMPLEX($D$18,0,"j")</f>
        <v>12.98</v>
      </c>
      <c r="M61" s="9" t="str">
        <f>IMPRODUCT($L61,$K61)</f>
        <v>4.37695174234542E-005+5.89632246342211E-003j</v>
      </c>
      <c r="N61" s="11">
        <f>IMABS($M61)</f>
        <v>0.005896484915889437</v>
      </c>
      <c r="O61" s="18">
        <f t="shared" si="12"/>
        <v>169.59256476774317</v>
      </c>
      <c r="P61" s="18">
        <f t="shared" si="17"/>
        <v>84.79628238387158</v>
      </c>
      <c r="Q61" s="115">
        <f t="shared" si="18"/>
        <v>1598.3722667333793</v>
      </c>
      <c r="R61" s="9" t="str">
        <f>IMDIV(COMPLEX(1/$D$29,0,"j"),COMPLEX(1-$B61*$B61*$D$30*$D$30,$B61*2*$D$21*$D$30,"j"))</f>
        <v>-5.78298396575753E-003-1.98273735968829E-004j</v>
      </c>
      <c r="S61" s="11">
        <f>IMABS($R61)</f>
        <v>0.005786381945791663</v>
      </c>
      <c r="T61" s="34" t="str">
        <f>IMPRODUCT(IMDIV($D$23,COMPLEX(1,$B61*$D$31,"j")),$AU61)</f>
        <v>376391.507351619-1787.89281708659j</v>
      </c>
      <c r="U61" s="21">
        <f>IMABS($T61)</f>
        <v>376395.75365185685</v>
      </c>
      <c r="V61" s="9" t="str">
        <f>IMPRODUCT($R61,$T61)</f>
        <v>-2177.02054405008-64.2891948558397j</v>
      </c>
      <c r="W61" s="133">
        <f>IMABS($V61)</f>
        <v>2177.969593403755</v>
      </c>
      <c r="X61" s="10">
        <f t="shared" si="19"/>
        <v>1088.9847967018775</v>
      </c>
      <c r="Y61" s="21">
        <f t="shared" si="20"/>
        <v>20526.879823137555</v>
      </c>
      <c r="Z61" s="10" t="str">
        <f>IMPRODUCT($M61,$V61)</f>
        <v>0.283782685149791-12.8392290442483j</v>
      </c>
      <c r="AA61" s="18">
        <f>IMABS($Z61)</f>
        <v>12.842364854771102</v>
      </c>
      <c r="AB61" s="13">
        <f>180/PI()*IMARGUMENT($Z61)</f>
        <v>-88.73381002066002</v>
      </c>
      <c r="AC61" s="9" t="str">
        <f>IMDIV($V61,IMSUM(1,IMPRODUCT($V61,$M61)))</f>
        <v>-11.8286470358156-168.377332030322j</v>
      </c>
      <c r="AD61" s="18">
        <f>IMABS($AC61)</f>
        <v>168.7923067925408</v>
      </c>
      <c r="AE61" s="16">
        <f>180/PI()*IMARGUMENT($AC61)</f>
        <v>-94.01847401489223</v>
      </c>
      <c r="AF61" s="33">
        <f t="shared" si="21"/>
        <v>84.3961533962704</v>
      </c>
      <c r="AG61" s="9" t="str">
        <f>IMPRODUCT($AC61,COMPLEX(0,$B61,"j"),COMPLEX($D$19,0,"j"))</f>
        <v>1586.91896801253-111.482371888875j</v>
      </c>
      <c r="AH61" s="12">
        <f>IMABS(AG61)</f>
        <v>1590.8300130057653</v>
      </c>
      <c r="AI61" s="35">
        <f>180/PI()*IMARGUMENT($AG61)</f>
        <v>-4.018474014892224</v>
      </c>
      <c r="AJ61" s="55" t="str">
        <f>IMDIV(COMPLEX(0,$B61,"j"),COMPLEX(1/$D$26,$B61,"j"))</f>
        <v>0.999999564602965+6.59846077099105E-004j</v>
      </c>
      <c r="AK61" s="35">
        <f>IMABS(AJ61)</f>
        <v>0.9999997823014587</v>
      </c>
      <c r="AL61" s="13">
        <f>180/PI()*IMARGUMENT($AJ61)</f>
        <v>0.03780640631990809</v>
      </c>
      <c r="AM61" s="36" t="str">
        <f>IMPRODUCT(AG61,AJ61)</f>
        <v>1586.99183827847-110.435201094064j</v>
      </c>
      <c r="AN61" s="35">
        <f>IMABS(AM61)</f>
        <v>1590.8296666843887</v>
      </c>
      <c r="AO61" s="57">
        <f>180/PI()*IMARGUMENT($AM61)</f>
        <v>-3.9806676085723387</v>
      </c>
      <c r="AP61" s="203">
        <f t="shared" si="22"/>
        <v>718871.0469574729</v>
      </c>
      <c r="AQ61" s="133">
        <f t="shared" si="23"/>
        <v>19968.640193263134</v>
      </c>
      <c r="AR61" s="138">
        <f t="shared" si="24"/>
        <v>65609.67806992309</v>
      </c>
      <c r="AS61" s="138">
        <f t="shared" si="25"/>
        <v>117743620.13485728</v>
      </c>
      <c r="AT61" s="139">
        <f t="shared" si="26"/>
        <v>1598.3734951313543</v>
      </c>
      <c r="AU61" s="106">
        <f>IF($D$40,IMDIV(COMPLEX($D$35,$B61,"j"),COMPLEX($D$34,$B61,"j")),1)</f>
        <v>1</v>
      </c>
      <c r="AV61" s="107">
        <f>IMABS(AU61)</f>
        <v>1</v>
      </c>
      <c r="AW61">
        <f t="shared" si="13"/>
        <v>3763.9575365185683</v>
      </c>
      <c r="AX61" s="6">
        <f t="shared" si="14"/>
        <v>0.1629458573936183</v>
      </c>
    </row>
    <row r="62" spans="1:50" ht="15" customHeight="1">
      <c r="A62" s="60">
        <v>4</v>
      </c>
      <c r="B62" s="124">
        <f t="shared" si="11"/>
        <v>25.132741228718345</v>
      </c>
      <c r="H62" s="9" t="str">
        <f>IMDIV(COMPLEX(0,$D$14*$B62,"j"),COMPLEX(1,$B62*$D$20*$D$14,"j"))</f>
        <v>2.93490193447183E-006+6.05684842273284E-004j</v>
      </c>
      <c r="I62" s="10" t="str">
        <f>COMPLEX(1/$D$16,0,"j")</f>
        <v>1.72117039586919E-006</v>
      </c>
      <c r="J62" s="10" t="str">
        <f>IMPRODUCT(1/$D$17,IMDIV(COMPLEX(1/$D$15,0,"j"),COMPLEX(1/$D$15,$B62,"j")))</f>
        <v>2.28888671830446E-012-4.62509020647691E-009j</v>
      </c>
      <c r="K62" s="11" t="str">
        <f>IMSUM($H62,$I62,$J62)</f>
        <v>4.65607461922774E-006+6.05680217183078E-004j</v>
      </c>
      <c r="L62" s="116" t="str">
        <f>COMPLEX($D$18,0,"j")</f>
        <v>12.98</v>
      </c>
      <c r="M62" s="9" t="str">
        <f>IMPRODUCT($L62,$K62)</f>
        <v>6.04358485575761E-005+7.86172921903635E-003j</v>
      </c>
      <c r="N62" s="11">
        <f>IMABS($M62)</f>
        <v>0.007861961511304973</v>
      </c>
      <c r="O62" s="18">
        <f t="shared" si="12"/>
        <v>127.1947208800332</v>
      </c>
      <c r="P62" s="18">
        <f t="shared" si="17"/>
        <v>63.5973604400166</v>
      </c>
      <c r="Q62" s="115">
        <f t="shared" si="18"/>
        <v>1598.3760027684664</v>
      </c>
      <c r="R62" s="9" t="str">
        <f>IMDIV(COMPLEX(1/$D$29,0,"j"),COMPLEX(1-$B62*$B62*$D$30*$D$30,$B62*2*$D$21*$D$30,"j"))</f>
        <v>-3.21447218194729E-003-8.16373887478677E-005j</v>
      </c>
      <c r="S62" s="11">
        <f>IMABS($R62)</f>
        <v>0.0032155086800931734</v>
      </c>
      <c r="T62" s="34" t="str">
        <f>IMPRODUCT(IMDIV($D$23,COMPLEX(1,$B62*$D$31,"j")),$AU62)</f>
        <v>376384.902223383-2383.81525619414j</v>
      </c>
      <c r="U62" s="21">
        <f>IMABS($T62)</f>
        <v>376392.4510359915</v>
      </c>
      <c r="V62" s="9" t="str">
        <f>IMPRODUCT($R62,$T62)</f>
        <v>-1210.07340635479-23.0643727537009j</v>
      </c>
      <c r="W62" s="133">
        <f>IMABS($V62)</f>
        <v>1210.293193427777</v>
      </c>
      <c r="X62" s="10">
        <f t="shared" si="19"/>
        <v>605.1465967138885</v>
      </c>
      <c r="Y62" s="21">
        <f t="shared" si="20"/>
        <v>15208.992820649739</v>
      </c>
      <c r="Z62" s="10" t="str">
        <f>IMPRODUCT($M62,$V62)</f>
        <v>0.108194040066508-9.51466337085712j</v>
      </c>
      <c r="AA62" s="18">
        <f>IMABS($Z62)</f>
        <v>9.51527850412357</v>
      </c>
      <c r="AB62" s="13">
        <f>180/PI()*IMARGUMENT($Z62)</f>
        <v>-89.34850089270353</v>
      </c>
      <c r="AC62" s="9" t="str">
        <f>IMDIV($V62,IMSUM(1,IMPRODUCT($V62,$M62)))</f>
        <v>-12.2230179347856-125.756202199726j</v>
      </c>
      <c r="AD62" s="18">
        <f>IMABS($AC62)</f>
        <v>126.34882096455219</v>
      </c>
      <c r="AE62" s="16">
        <f>180/PI()*IMARGUMENT($AC62)</f>
        <v>-95.55149084675416</v>
      </c>
      <c r="AF62" s="33">
        <f t="shared" si="21"/>
        <v>63.174410482276095</v>
      </c>
      <c r="AG62" s="9" t="str">
        <f>IMPRODUCT($AC62,COMPLEX(0,$B62,"j"),COMPLEX($D$19,0,"j"))</f>
        <v>1580.29904389604-153.598973394475j</v>
      </c>
      <c r="AH62" s="12">
        <f>IMABS(AG62)</f>
        <v>1587.7461109278697</v>
      </c>
      <c r="AI62" s="35">
        <f>180/PI()*IMARGUMENT($AG62)</f>
        <v>-5.5514908467541915</v>
      </c>
      <c r="AJ62" s="55" t="str">
        <f>IMDIV(COMPLEX(0,$B62,"j"),COMPLEX(1/$D$26,$B62,"j"))</f>
        <v>0.999999755089121+4.94884652093029E-004j</v>
      </c>
      <c r="AK62" s="35">
        <f>IMABS(AJ62)</f>
        <v>0.999999877544553</v>
      </c>
      <c r="AL62" s="13">
        <f>180/PI()*IMARGUMENT($AJ62)</f>
        <v>0.028354806540331193</v>
      </c>
      <c r="AM62" s="36" t="str">
        <f>IMPRODUCT(AG62,AJ62)</f>
        <v>1580.37467063812-152.816870033874j</v>
      </c>
      <c r="AN62" s="35">
        <f>IMABS(AM62)</f>
        <v>1587.7459164997074</v>
      </c>
      <c r="AO62" s="57">
        <f>180/PI()*IMARGUMENT($AM62)</f>
        <v>-5.52313604021387</v>
      </c>
      <c r="AP62" s="204">
        <f t="shared" si="22"/>
        <v>958494.7292766307</v>
      </c>
      <c r="AQ62" s="137">
        <f t="shared" si="23"/>
        <v>14976.480144947353</v>
      </c>
      <c r="AR62" s="138">
        <f t="shared" si="24"/>
        <v>87479.57075989745</v>
      </c>
      <c r="AS62" s="138">
        <f t="shared" si="25"/>
        <v>209321991.35085738</v>
      </c>
      <c r="AT62" s="139">
        <f t="shared" si="26"/>
        <v>1598.3734951313543</v>
      </c>
      <c r="AU62" s="106">
        <f>IF($D$40,IMDIV(COMPLEX($D$35,$B62,"j"),COMPLEX($D$34,$B62,"j")),1)</f>
        <v>1</v>
      </c>
      <c r="AV62" s="107">
        <f>IMABS(AU62)</f>
        <v>1</v>
      </c>
      <c r="AW62">
        <f t="shared" si="13"/>
        <v>3763.924510359915</v>
      </c>
      <c r="AX62" s="6">
        <f t="shared" si="14"/>
        <v>0.12114479802308736</v>
      </c>
    </row>
    <row r="63" spans="1:50" ht="15" customHeight="1">
      <c r="A63" s="60">
        <v>5</v>
      </c>
      <c r="B63" s="124">
        <f t="shared" si="11"/>
        <v>31.41592653589793</v>
      </c>
      <c r="H63" s="9" t="str">
        <f>IMDIV(COMPLEX(0,$D$14*$B63,"j"),COMPLEX(1,$B63*$D$20*$D$14,"j"))</f>
        <v>4.58572370869E-006+7.57096053829577E-004j</v>
      </c>
      <c r="I63" s="10" t="str">
        <f>COMPLEX(1/$D$16,0,"j")</f>
        <v>1.72117039586919E-006</v>
      </c>
      <c r="J63" s="10" t="str">
        <f>IMPRODUCT(1/$D$17,IMDIV(COMPLEX(1/$D$15,0,"j"),COMPLEX(1/$D$15,$B63,"j")))</f>
        <v>1.46488762887094E-012-3.70007249140921E-009j</v>
      </c>
      <c r="K63" s="11" t="str">
        <f>IMSUM($H63,$I63,$J63)</f>
        <v>6.30689556944682E-006+7.57092353757086E-004j</v>
      </c>
      <c r="L63" s="116" t="str">
        <f>COMPLEX($D$18,0,"j")</f>
        <v>12.98</v>
      </c>
      <c r="M63" s="9" t="str">
        <f>IMPRODUCT($L63,$K63)</f>
        <v>8.18635044914197E-005+9.82705875176698E-003j</v>
      </c>
      <c r="N63" s="11">
        <f>IMABS($M63)</f>
        <v>0.00982739972444632</v>
      </c>
      <c r="O63" s="18">
        <f t="shared" si="12"/>
        <v>101.75631683246104</v>
      </c>
      <c r="P63" s="18">
        <f t="shared" si="17"/>
        <v>50.87815841623052</v>
      </c>
      <c r="Q63" s="115">
        <f t="shared" si="18"/>
        <v>1598.384487086075</v>
      </c>
      <c r="R63" s="9" t="str">
        <f>IMDIV(COMPLEX(1/$D$29,0,"j"),COMPLEX(1-$B63*$B63*$D$30*$D$30,$B63*2*$D$21*$D$30,"j"))</f>
        <v>-2.04605755850922E-003-4.13344961314994E-005j</v>
      </c>
      <c r="S63" s="11">
        <f>IMABS($R63)</f>
        <v>0.002046475036081104</v>
      </c>
      <c r="T63" s="34" t="str">
        <f>IMPRODUCT(IMDIV($D$23,COMPLEX(1,$B63*$D$31,"j")),$AU63)</f>
        <v>376376.410256278-2979.70184092297j</v>
      </c>
      <c r="U63" s="21">
        <f>IMABS($T63)</f>
        <v>376388.20494333096</v>
      </c>
      <c r="V63" s="9" t="str">
        <f>IMPRODUCT($R63,$T63)</f>
        <v>-770.210963523641-9.46068780000147j</v>
      </c>
      <c r="W63" s="188">
        <f>IMABS($V63)</f>
        <v>770.2690652919047</v>
      </c>
      <c r="X63" s="10">
        <f t="shared" si="19"/>
        <v>385.13453264595233</v>
      </c>
      <c r="Y63" s="21">
        <f t="shared" si="20"/>
        <v>12099.358184042621</v>
      </c>
      <c r="Z63" s="10" t="str">
        <f>IMPRODUCT($M63,$V63)</f>
        <v>2.99185661709813E-002-7.56968287486008j</v>
      </c>
      <c r="AA63" s="18">
        <f>IMABS($Z63)</f>
        <v>7.569741999999188</v>
      </c>
      <c r="AB63" s="13">
        <f>180/PI()*IMARGUMENT($Z63)</f>
        <v>-89.7735441929514</v>
      </c>
      <c r="AC63" s="9" t="str">
        <f>IMDIV($V63,IMSUM(1,IMPRODUCT($V63,$M63)))</f>
        <v>-12.3651454483545-100.067054746594j</v>
      </c>
      <c r="AD63" s="18">
        <f>IMABS($AC63)</f>
        <v>100.82813232236725</v>
      </c>
      <c r="AE63" s="16">
        <f>180/PI()*IMARGUMENT($AC63)</f>
        <v>-97.04425050333337</v>
      </c>
      <c r="AF63" s="33">
        <f t="shared" si="21"/>
        <v>50.41406616118363</v>
      </c>
      <c r="AG63" s="9" t="str">
        <f>IMPRODUCT($AC63,COMPLEX(0,$B63,"j"),COMPLEX($D$19,0,"j"))</f>
        <v>1571.84962029134-194.231250505599j</v>
      </c>
      <c r="AH63" s="12">
        <f>IMABS(AG63)</f>
        <v>1583.804598895646</v>
      </c>
      <c r="AI63" s="35">
        <f>180/PI()*IMARGUMENT($AG63)</f>
        <v>-7.044250503333353</v>
      </c>
      <c r="AJ63" s="55" t="str">
        <f>IMDIV(COMPLEX(0,$B63,"j"),COMPLEX(1/$D$26,$B63,"j"))</f>
        <v>0.999999843257024+3.95907756580785E-004j</v>
      </c>
      <c r="AK63" s="35">
        <f>IMABS(AJ63)</f>
        <v>0.9999999216285089</v>
      </c>
      <c r="AL63" s="13">
        <f>180/PI()*IMARGUMENT($AJ63)</f>
        <v>0.022683845898927447</v>
      </c>
      <c r="AM63" s="36" t="str">
        <f>IMPRODUCT(AG63,AJ63)</f>
        <v>1571.9262715736-193.608912604363j</v>
      </c>
      <c r="AN63" s="35">
        <f>IMABS(AM63)</f>
        <v>1583.80447477052</v>
      </c>
      <c r="AO63" s="57">
        <f>180/PI()*IMARGUMENT($AM63)</f>
        <v>-7.021566657434423</v>
      </c>
      <c r="AP63" s="204">
        <f t="shared" si="22"/>
        <v>1198118.411595788</v>
      </c>
      <c r="AQ63" s="137">
        <f t="shared" si="23"/>
        <v>11981.184115957882</v>
      </c>
      <c r="AR63" s="138">
        <f t="shared" si="24"/>
        <v>109349.46344987182</v>
      </c>
      <c r="AS63" s="138">
        <f t="shared" si="25"/>
        <v>327065611.48571473</v>
      </c>
      <c r="AT63" s="139">
        <f t="shared" si="26"/>
        <v>1598.3734951313543</v>
      </c>
      <c r="AU63" s="106">
        <f>IF($D$40,IMDIV(COMPLEX($D$35,$B63,"j"),COMPLEX($D$34,$B63,"j")),1)</f>
        <v>1</v>
      </c>
      <c r="AV63" s="107">
        <f>IMABS(AU63)</f>
        <v>1</v>
      </c>
      <c r="AW63">
        <f t="shared" si="13"/>
        <v>3763.8820494333095</v>
      </c>
      <c r="AX63" s="51">
        <f t="shared" si="14"/>
        <v>0.09608652749814814</v>
      </c>
    </row>
    <row r="64" spans="1:50" ht="15" customHeight="1">
      <c r="A64" s="60">
        <v>6</v>
      </c>
      <c r="B64" s="124">
        <f t="shared" si="11"/>
        <v>37.69911184307752</v>
      </c>
      <c r="H64" s="9" t="str">
        <f>IMDIV(COMPLEX(0,$D$14*$B64,"j"),COMPLEX(1,$B64*$D$20*$D$14,"j"))</f>
        <v>6.60333555113878E-006+9.08500599808248E-004j</v>
      </c>
      <c r="I64" s="10" t="str">
        <f>COMPLEX(1/$D$16,0,"j")</f>
        <v>1.72117039586919E-006</v>
      </c>
      <c r="J64" s="10" t="str">
        <f>IMPRODUCT(1/$D$17,IMDIV(COMPLEX(1/$D$15,0,"j"),COMPLEX(1/$D$15,$B64,"j")))</f>
        <v>1.01728312432626E-012-3.0833938905161E-009j</v>
      </c>
      <c r="K64" s="11" t="str">
        <f>IMSUM($H64,$I64,$J64)</f>
        <v>8.32450696429109E-006+9.08497516414358E-004j</v>
      </c>
      <c r="L64" s="116" t="str">
        <f>COMPLEX($D$18,0,"j")</f>
        <v>12.98</v>
      </c>
      <c r="M64" s="9" t="str">
        <f>IMPRODUCT($L64,$K64)</f>
        <v>1.08052100396498E-004+1.17922977630584E-002j</v>
      </c>
      <c r="N64" s="11">
        <f>IMABS($M64)</f>
        <v>0.011792792790049023</v>
      </c>
      <c r="O64" s="18">
        <f t="shared" si="12"/>
        <v>84.7975554055201</v>
      </c>
      <c r="P64" s="18">
        <f t="shared" si="17"/>
        <v>42.39877770276005</v>
      </c>
      <c r="Q64" s="115">
        <f t="shared" si="18"/>
        <v>1598.3962626261323</v>
      </c>
      <c r="R64" s="9" t="str">
        <f>IMDIV(COMPLEX(1/$D$29,0,"j"),COMPLEX(1-$B64*$B64*$D$30*$D$30,$B64*2*$D$21*$D$30,"j"))</f>
        <v>-1.41668044610197E-003-2.37764550394736E-005j</v>
      </c>
      <c r="S64" s="11">
        <f>IMABS($R64)</f>
        <v>0.0014168799547533732</v>
      </c>
      <c r="T64" s="34" t="str">
        <f>IMPRODUCT(IMDIV($D$23,COMPLEX(1,$B64*$D$31,"j")),$AU64)</f>
        <v>376366.03170574-3575.54361104891j</v>
      </c>
      <c r="U64" s="21">
        <f>IMABS($T64)</f>
        <v>376383.01546966843</v>
      </c>
      <c r="V64" s="9" t="str">
        <f>IMPRODUCT($R64,$T64)</f>
        <v>-533.275411446426-3.8832473132788j</v>
      </c>
      <c r="W64" s="188">
        <f>IMABS($V64)</f>
        <v>533.2895499286021</v>
      </c>
      <c r="X64" s="10">
        <f t="shared" si="19"/>
        <v>266.64477496430106</v>
      </c>
      <c r="Y64" s="21">
        <f t="shared" si="20"/>
        <v>10052.271193751421</v>
      </c>
      <c r="Z64" s="10" t="str">
        <f>IMPRODUCT($M64,$V64)</f>
        <v>-1.18291196908129E-002-6.2889620345223j</v>
      </c>
      <c r="AA64" s="18">
        <f>IMABS($Z64)</f>
        <v>6.288973159406513</v>
      </c>
      <c r="AB64" s="13">
        <f>180/PI()*IMARGUMENT($Z64)</f>
        <v>-90.10776942691604</v>
      </c>
      <c r="AC64" s="9" t="str">
        <f>IMDIV($V64,IMSUM(1,IMPRODUCT($V64,$M64)))</f>
        <v>-12.4001067389134-82.8470555545152j</v>
      </c>
      <c r="AD64" s="18">
        <f>IMABS($AC64)</f>
        <v>83.76990665620544</v>
      </c>
      <c r="AE64" s="16">
        <f>180/PI()*IMARGUMENT($AC64)</f>
        <v>-98.5125355788324</v>
      </c>
      <c r="AF64" s="33">
        <f t="shared" si="21"/>
        <v>41.88495332810272</v>
      </c>
      <c r="AG64" s="9" t="str">
        <f>IMPRODUCT($AC64,COMPLEX(0,$B64,"j"),COMPLEX($D$19,0,"j"))</f>
        <v>1561.63020660966-233.736505408198j</v>
      </c>
      <c r="AH64" s="12">
        <f>IMABS(AG64)</f>
        <v>1579.025540058224</v>
      </c>
      <c r="AI64" s="35">
        <f>180/PI()*IMARGUMENT($AG64)</f>
        <v>-8.512535578832411</v>
      </c>
      <c r="AJ64" s="55" t="str">
        <f>IMDIV(COMPLEX(0,$B64,"j"),COMPLEX(1/$D$26,$B64,"j"))</f>
        <v>0.999999891150706+3.29923146285223E-004j</v>
      </c>
      <c r="AK64" s="35">
        <f>IMABS(AJ64)</f>
        <v>0.9999999455753518</v>
      </c>
      <c r="AL64" s="13">
        <f>180/PI()*IMARGUMENT($AJ64)</f>
        <v>0.018903205217554255</v>
      </c>
      <c r="AM64" s="36" t="str">
        <f>IMPRODUCT(AG64,AJ64)</f>
        <v>1561.70715171058-233.221262015046j</v>
      </c>
      <c r="AN64" s="35">
        <f>IMABS(AM64)</f>
        <v>1579.0254541203137</v>
      </c>
      <c r="AO64" s="57">
        <f>180/PI()*IMARGUMENT($AM64)</f>
        <v>-8.493632373614869</v>
      </c>
      <c r="AP64" s="204">
        <f t="shared" si="22"/>
        <v>1437742.0939149458</v>
      </c>
      <c r="AQ64" s="137">
        <f t="shared" si="23"/>
        <v>9984.320096631567</v>
      </c>
      <c r="AR64" s="138">
        <f t="shared" si="24"/>
        <v>131219.35613984618</v>
      </c>
      <c r="AS64" s="138">
        <f t="shared" si="25"/>
        <v>470974480.5394291</v>
      </c>
      <c r="AT64" s="139">
        <f t="shared" si="26"/>
        <v>1598.3734951313543</v>
      </c>
      <c r="AU64" s="106">
        <f>IF($D$40,IMDIV(COMPLEX($D$35,$B64,"j"),COMPLEX($D$34,$B64,"j")),1)</f>
        <v>1</v>
      </c>
      <c r="AV64" s="107">
        <f>IMABS(AU64)</f>
        <v>1</v>
      </c>
      <c r="AW64">
        <f t="shared" si="13"/>
        <v>3763.8301546966845</v>
      </c>
      <c r="AX64" s="51">
        <f t="shared" si="14"/>
        <v>0.07939234463942944</v>
      </c>
    </row>
    <row r="65" spans="1:50" ht="15" customHeight="1">
      <c r="A65" s="60">
        <v>7</v>
      </c>
      <c r="B65" s="124">
        <f t="shared" si="11"/>
        <v>43.982297150257104</v>
      </c>
      <c r="H65" s="9" t="str">
        <f>IMDIV(COMPLEX(0,$D$14*$B65,"j"),COMPLEX(1,$B65*$D$20*$D$14,"j"))</f>
        <v>8.98770193692728E-006+1.05989714752414E-003j</v>
      </c>
      <c r="I65" s="10" t="str">
        <f>COMPLEX(1/$D$16,0,"j")</f>
        <v>1.72117039586919E-006</v>
      </c>
      <c r="J65" s="10" t="str">
        <f>IMPRODUCT(1/$D$17,IMDIV(COMPLEX(1/$D$15,0,"j"),COMPLEX(1/$D$15,$B65,"j")))</f>
        <v>7.47391704761941E-013-2.64290912533675E-009j</v>
      </c>
      <c r="K65" s="11" t="str">
        <f>IMSUM($H65,$I65,$J65)</f>
        <v>1.07088730801882E-005+1.05989450461501E-003j</v>
      </c>
      <c r="L65" s="116" t="str">
        <f>COMPLEX($D$18,0,"j")</f>
        <v>12.98</v>
      </c>
      <c r="M65" s="9" t="str">
        <f>IMPRODUCT($L65,$K65)</f>
        <v>1.39001172580843E-004+1.37574306699028E-002j</v>
      </c>
      <c r="N65" s="11">
        <f>IMABS($M65)</f>
        <v>0.013758132866169052</v>
      </c>
      <c r="O65" s="18">
        <f t="shared" si="12"/>
        <v>72.68428134307221</v>
      </c>
      <c r="P65" s="18">
        <f t="shared" si="17"/>
        <v>36.34214067153611</v>
      </c>
      <c r="Q65" s="115">
        <f t="shared" si="18"/>
        <v>1598.4108300919454</v>
      </c>
      <c r="R65" s="9" t="str">
        <f>IMDIV(COMPLEX(1/$D$29,0,"j"),COMPLEX(1-$B65*$B65*$D$30*$D$30,$B65*2*$D$21*$D$30,"j"))</f>
        <v>-1.03897741058811E-003-1.49186499981882E-005j</v>
      </c>
      <c r="S65" s="11">
        <f>IMABS($R65)</f>
        <v>0.0010390845133241772</v>
      </c>
      <c r="T65" s="34" t="str">
        <f>IMPRODUCT(IMDIV($D$23,COMPLEX(1,$B65*$D$31,"j")),$AU65)</f>
        <v>376353.766883927-4171.33160859429j</v>
      </c>
      <c r="U65" s="21">
        <f>IMABS($T65)</f>
        <v>376376.88273206964</v>
      </c>
      <c r="V65" s="9" t="str">
        <f>IMPRODUCT($R65,$T65)</f>
        <v>-391.085292818439-1.28077081023939j</v>
      </c>
      <c r="W65" s="188">
        <f>IMABS($V65)</f>
        <v>391.08739002012385</v>
      </c>
      <c r="X65" s="10">
        <f t="shared" si="19"/>
        <v>195.54369501006192</v>
      </c>
      <c r="Y65" s="21">
        <f t="shared" si="20"/>
        <v>8600.460899791791</v>
      </c>
      <c r="Z65" s="10" t="str">
        <f>IMPRODUCT($M65,$V65)</f>
        <v>-3.67411986549817E-002-5.38050683061274j</v>
      </c>
      <c r="AA65" s="18">
        <f>IMABS($Z65)</f>
        <v>5.380632274180141</v>
      </c>
      <c r="AB65" s="13">
        <f>180/PI()*IMARGUMENT($Z65)</f>
        <v>-90.39124249150558</v>
      </c>
      <c r="AC65" s="9" t="str">
        <f>IMDIV($V65,IMSUM(1,IMPRODUCT($V65,$M65)))</f>
        <v>-12.3779571713752-70.4695911680983j</v>
      </c>
      <c r="AD65" s="18">
        <f>IMABS($AC65)</f>
        <v>71.54842488228037</v>
      </c>
      <c r="AE65" s="16">
        <f>180/PI()*IMARGUMENT($AC65)</f>
        <v>-99.96235620304438</v>
      </c>
      <c r="AF65" s="33">
        <f t="shared" si="21"/>
        <v>35.774212441140186</v>
      </c>
      <c r="AG65" s="9" t="str">
        <f>IMPRODUCT($AC65,COMPLEX(0,$B65,"j"),COMPLEX($D$19,0,"j"))</f>
        <v>1549.70724940622-272.20549521229j</v>
      </c>
      <c r="AH65" s="12">
        <f>IMABS(AG65)</f>
        <v>1573.4320419026558</v>
      </c>
      <c r="AI65" s="35">
        <f>180/PI()*IMARGUMENT($AG65)</f>
        <v>-9.962356203044354</v>
      </c>
      <c r="AJ65" s="55" t="str">
        <f>IMDIV(COMPLEX(0,$B65,"j"),COMPLEX(1/$D$26,$B65,"j"))</f>
        <v>0.999999920029088+2.82791276411032E-004j</v>
      </c>
      <c r="AK65" s="35">
        <f>IMABS(AJ65)</f>
        <v>0.9999999600145433</v>
      </c>
      <c r="AL65" s="13">
        <f>180/PI()*IMARGUMENT($AJ65)</f>
        <v>0.016202747485301944</v>
      </c>
      <c r="AM65" s="36" t="str">
        <f>IMPRODUCT(AG65,AJ65)</f>
        <v>1549.78410281416-271.767229752645j</v>
      </c>
      <c r="AN65" s="35">
        <f>IMABS(AM65)</f>
        <v>1573.4319789882618</v>
      </c>
      <c r="AO65" s="57">
        <f>180/PI()*IMARGUMENT($AM65)</f>
        <v>-9.946153455559013</v>
      </c>
      <c r="AP65" s="204">
        <f t="shared" si="22"/>
        <v>1677365.7762341034</v>
      </c>
      <c r="AQ65" s="137">
        <f t="shared" si="23"/>
        <v>8557.988654255629</v>
      </c>
      <c r="AR65" s="138">
        <f t="shared" si="24"/>
        <v>153089.24882982054</v>
      </c>
      <c r="AS65" s="138">
        <f t="shared" si="25"/>
        <v>641048598.5120008</v>
      </c>
      <c r="AT65" s="139">
        <f t="shared" si="26"/>
        <v>1598.3734951313543</v>
      </c>
      <c r="AU65" s="106">
        <f>IF($D$40,IMDIV(COMPLEX($D$35,$B65,"j"),COMPLEX($D$34,$B65,"j")),1)</f>
        <v>1</v>
      </c>
      <c r="AV65" s="107">
        <f>IMABS(AU65)</f>
        <v>1</v>
      </c>
      <c r="AW65">
        <f t="shared" si="13"/>
        <v>3763.7688273206963</v>
      </c>
      <c r="AX65" s="51">
        <f t="shared" si="14"/>
        <v>0.0674752554749824</v>
      </c>
    </row>
    <row r="66" spans="1:50" ht="15" customHeight="1">
      <c r="A66" s="60">
        <v>8</v>
      </c>
      <c r="B66" s="124">
        <f t="shared" si="11"/>
        <v>50.26548245743669</v>
      </c>
      <c r="H66" s="9" t="str">
        <f>IMDIV(COMPLEX(0,$D$14*$B66,"j"),COMPLEX(1,$B66*$D$20*$D$14,"j"))</f>
        <v>1.17387808857897E-005+1.21128436452677E-003j</v>
      </c>
      <c r="I66" s="10" t="str">
        <f>COMPLEX(1/$D$16,0,"j")</f>
        <v>1.72117039586919E-006</v>
      </c>
      <c r="J66" s="10" t="str">
        <f>IMPRODUCT(1/$D$17,IMDIV(COMPLEX(1/$D$15,0,"j"),COMPLEX(1/$D$15,$B66,"j")))</f>
        <v>5.72221784683618E-013-2.31254552801412E-009j</v>
      </c>
      <c r="K66" s="11" t="str">
        <f>IMSUM($H66,$I66,$J66)</f>
        <v>1.34599518538807E-005+1.21128205198124E-003j</v>
      </c>
      <c r="L66" s="116" t="str">
        <f>COMPLEX($D$18,0,"j")</f>
        <v>12.98</v>
      </c>
      <c r="M66" s="9" t="str">
        <f>IMPRODUCT($L66,$K66)</f>
        <v>1.74710175063371E-004+1.57224410347165E-002j</v>
      </c>
      <c r="N66" s="11">
        <f>IMABS($M66)</f>
        <v>0.015723411707877142</v>
      </c>
      <c r="O66" s="18">
        <f t="shared" si="12"/>
        <v>63.59942858323924</v>
      </c>
      <c r="P66" s="18">
        <f t="shared" si="17"/>
        <v>31.79971429161962</v>
      </c>
      <c r="Q66" s="115">
        <f t="shared" si="18"/>
        <v>1598.4279808769047</v>
      </c>
      <c r="R66" s="9" t="str">
        <f>IMDIV(COMPLEX(1/$D$29,0,"j"),COMPLEX(1-$B66*$B66*$D$30*$D$30,$B66*2*$D$21*$D$30,"j"))</f>
        <v>-7.94550825945939E-004-9.97083389422355E-006j</v>
      </c>
      <c r="S66" s="11">
        <f>IMABS($R66)</f>
        <v>0.0007946133855781187</v>
      </c>
      <c r="T66" s="34" t="str">
        <f>IMPRODUCT(IMDIV($D$23,COMPLEX(1,$B66*$D$31,"j")),$AU66)</f>
        <v>376339.6161597-4767.05687827668j</v>
      </c>
      <c r="U66" s="21">
        <f>IMABS($T66)</f>
        <v>376369.8068688707</v>
      </c>
      <c r="V66" s="9" t="str">
        <f>IMPRODUCT($R66,$T66)</f>
        <v>-299.068484388165+3.52491794217888E-002j</v>
      </c>
      <c r="W66" s="188">
        <f>IMABS($V66)</f>
        <v>299.0684864654562</v>
      </c>
      <c r="X66" s="10">
        <f t="shared" si="19"/>
        <v>149.5342432327281</v>
      </c>
      <c r="Y66" s="21">
        <f t="shared" si="20"/>
        <v>7516.410880000765</v>
      </c>
      <c r="Z66" s="10" t="str">
        <f>IMPRODUCT($M66,$V66)</f>
        <v>-5.28045104083746E-002-4.70208045274465j</v>
      </c>
      <c r="AA66" s="18">
        <f>IMABS($Z66)</f>
        <v>4.702376941548051</v>
      </c>
      <c r="AB66" s="13">
        <f>180/PI()*IMARGUMENT($Z66)</f>
        <v>-90.64340634770944</v>
      </c>
      <c r="AC66" s="9" t="str">
        <f>IMDIV($V66,IMSUM(1,IMPRODUCT($V66,$M66)))</f>
        <v>-12.3199577798724-61.1216840790874j</v>
      </c>
      <c r="AD66" s="18">
        <f>IMABS($AC66)</f>
        <v>62.35095528026499</v>
      </c>
      <c r="AE66" s="16">
        <f>180/PI()*IMARGUMENT($AC66)</f>
        <v>-101.39609454572397</v>
      </c>
      <c r="AF66" s="33">
        <f t="shared" si="21"/>
        <v>31.175477640132495</v>
      </c>
      <c r="AG66" s="9" t="str">
        <f>IMPRODUCT($AC66,COMPLEX(0,$B66,"j"),COMPLEX($D$19,0,"j"))</f>
        <v>1536.15546942318-309.634310830268j</v>
      </c>
      <c r="AH66" s="12">
        <f>IMABS(AG66)</f>
        <v>1567.050424422292</v>
      </c>
      <c r="AI66" s="35">
        <f>180/PI()*IMARGUMENT($AG66)</f>
        <v>-11.396094545723937</v>
      </c>
      <c r="AJ66" s="55" t="str">
        <f>IMDIV(COMPLEX(0,$B66,"j"),COMPLEX(1/$D$26,$B66,"j"))</f>
        <v>0.999999938772269+2.47442371497511E-004j</v>
      </c>
      <c r="AK66" s="35">
        <f>IMABS(AJ66)</f>
        <v>0.9999999693861339</v>
      </c>
      <c r="AL66" s="13">
        <f>180/PI()*IMARGUMENT($AJ66)</f>
        <v>0.014177404138215792</v>
      </c>
      <c r="AM66" s="36" t="str">
        <f>IMPRODUCT(AG66,AJ66)</f>
        <v>1536.23199201603-309.254181919719j</v>
      </c>
      <c r="AN66" s="35">
        <f>IMABS(AM66)</f>
        <v>1567.0503764488155</v>
      </c>
      <c r="AO66" s="57">
        <f>180/PI()*IMARGUMENT($AM66)</f>
        <v>-11.381917141585761</v>
      </c>
      <c r="AP66" s="204">
        <f t="shared" si="22"/>
        <v>1916989.4585532614</v>
      </c>
      <c r="AQ66" s="137">
        <f t="shared" si="23"/>
        <v>7488.240072473676</v>
      </c>
      <c r="AR66" s="138">
        <f t="shared" si="24"/>
        <v>174959.1415197949</v>
      </c>
      <c r="AS66" s="138">
        <f t="shared" si="25"/>
        <v>837287965.4034295</v>
      </c>
      <c r="AT66" s="139">
        <f t="shared" si="26"/>
        <v>1598.3734951313543</v>
      </c>
      <c r="AU66" s="106">
        <f>IF($D$40,IMDIV(COMPLEX($D$35,$B66,"j"),COMPLEX($D$34,$B66,"j")),1)</f>
        <v>1</v>
      </c>
      <c r="AV66" s="107">
        <f>IMABS(AU66)</f>
        <v>1</v>
      </c>
      <c r="AW66">
        <f t="shared" si="13"/>
        <v>3763.698068688707</v>
      </c>
      <c r="AX66" s="51">
        <f t="shared" si="14"/>
        <v>0.05854302272717919</v>
      </c>
    </row>
    <row r="67" spans="1:50" ht="15" customHeight="1">
      <c r="A67" s="60">
        <v>9</v>
      </c>
      <c r="B67" s="124">
        <f t="shared" si="11"/>
        <v>56.548667764616276</v>
      </c>
      <c r="H67" s="9" t="str">
        <f>IMDIV(COMPLEX(0,$D$14*$B67,"j"),COMPLEX(1,$B67*$D$20*$D$14,"j"))</f>
        <v>1.48565239639336E-005+1.36266091863949E-003j</v>
      </c>
      <c r="I67" s="10" t="str">
        <f>COMPLEX(1/$D$16,0,"j")</f>
        <v>1.72117039586919E-006</v>
      </c>
      <c r="J67" s="10" t="str">
        <f>IMPRODUCT(1/$D$17,IMDIV(COMPLEX(1/$D$15,0,"j"),COMPLEX(1/$D$15,$B67,"j")))</f>
        <v>4.52125860374771E-013-2.05559605131639E-009j</v>
      </c>
      <c r="K67" s="11" t="str">
        <f>IMSUM($H67,$I67,$J67)</f>
        <v>1.65776948119287E-005+1.36265886304344E-003j</v>
      </c>
      <c r="L67" s="116" t="str">
        <f>COMPLEX($D$18,0,"j")</f>
        <v>12.98</v>
      </c>
      <c r="M67" s="9" t="str">
        <f>IMPRODUCT($L67,$K67)</f>
        <v>2.15178478658835E-004+1.76873120423039E-002j</v>
      </c>
      <c r="N67" s="11">
        <f>IMABS($M67)</f>
        <v>0.017688620891960643</v>
      </c>
      <c r="O67" s="18">
        <f t="shared" si="12"/>
        <v>56.533519832204284</v>
      </c>
      <c r="P67" s="18">
        <f t="shared" si="17"/>
        <v>28.266759916102142</v>
      </c>
      <c r="Q67" s="115">
        <f t="shared" si="18"/>
        <v>1598.4476152778327</v>
      </c>
      <c r="R67" s="9" t="str">
        <f>IMDIV(COMPLEX(1/$D$29,0,"j"),COMPLEX(1-$B67*$B67*$D$30*$D$30,$B67*2*$D$21*$D$30,"j"))</f>
        <v>-6.2729782565854E-004-6.99155471322212E-006j</v>
      </c>
      <c r="S67" s="11">
        <f>IMABS($R67)</f>
        <v>0.0006273367866730279</v>
      </c>
      <c r="T67" s="34" t="str">
        <f>IMPRODUCT(IMDIV($D$23,COMPLEX(1,$B67*$D$31,"j")),$AU67)</f>
        <v>376323.579958592-5362.7104679575j</v>
      </c>
      <c r="U67" s="21">
        <f>IMABS($T67)</f>
        <v>376361.78803966526</v>
      </c>
      <c r="V67" s="9" t="str">
        <f>IMPRODUCT($R67,$T67)</f>
        <v>-236.10445713571+0.732929717029916j</v>
      </c>
      <c r="W67" s="188">
        <f>IMABS($V67)</f>
        <v>236.10559473531845</v>
      </c>
      <c r="X67" s="10">
        <f t="shared" si="19"/>
        <v>118.05279736765922</v>
      </c>
      <c r="Y67" s="21">
        <f t="shared" si="20"/>
        <v>6675.728417027329</v>
      </c>
      <c r="Z67" s="10" t="str">
        <f>IMPRODUCT($M67,$V67)</f>
        <v>-6.37681545012178E-002-4.17589549723659j</v>
      </c>
      <c r="AA67" s="18">
        <f>IMABS($Z67)</f>
        <v>4.176382355743942</v>
      </c>
      <c r="AB67" s="13">
        <f>180/PI()*IMARGUMENT($Z67)</f>
        <v>-90.87486915452072</v>
      </c>
      <c r="AC67" s="9" t="str">
        <f>IMDIV($V67,IMSUM(1,IMPRODUCT($V67,$M67)))</f>
        <v>-12.2366168192909-53.7964005413893j</v>
      </c>
      <c r="AD67" s="18">
        <f>IMABS($AC67)</f>
        <v>55.17053110485474</v>
      </c>
      <c r="AE67" s="16">
        <f>180/PI()*IMARGUMENT($AC67)</f>
        <v>-102.81455723865777</v>
      </c>
      <c r="AF67" s="33">
        <f t="shared" si="21"/>
        <v>27.58526555242737</v>
      </c>
      <c r="AG67" s="9" t="str">
        <f>IMPRODUCT($AC67,COMPLEX(0,$B67,"j"),COMPLEX($D$19,0,"j"))</f>
        <v>1521.05739057362-345.982189538498j</v>
      </c>
      <c r="AH67" s="12">
        <f>IMABS(AG67)</f>
        <v>1559.910016922926</v>
      </c>
      <c r="AI67" s="35">
        <f>180/PI()*IMARGUMENT($AG67)</f>
        <v>-12.814557238657779</v>
      </c>
      <c r="AJ67" s="55" t="str">
        <f>IMDIV(COMPLEX(0,$B67,"j"),COMPLEX(1/$D$26,$B67,"j"))</f>
        <v>0.999999951622533+2.19948777490854E-004j</v>
      </c>
      <c r="AK67" s="35">
        <f>IMABS(AJ67)</f>
        <v>0.9999999758112661</v>
      </c>
      <c r="AL67" s="13">
        <f>180/PI()*IMARGUMENT($AJ67)</f>
        <v>0.012602137065727624</v>
      </c>
      <c r="AM67" s="36" t="str">
        <f>IMPRODUCT(AG67,AJ67)</f>
        <v>1521.13341534834-345.647618087206j</v>
      </c>
      <c r="AN67" s="35">
        <f>IMABS(AM67)</f>
        <v>1559.9099791906788</v>
      </c>
      <c r="AO67" s="57">
        <f>180/PI()*IMARGUMENT($AM67)</f>
        <v>-12.801955101592046</v>
      </c>
      <c r="AP67" s="204">
        <f t="shared" si="22"/>
        <v>2156613.140872419</v>
      </c>
      <c r="AQ67" s="137">
        <f t="shared" si="23"/>
        <v>6656.213397754378</v>
      </c>
      <c r="AR67" s="138">
        <f t="shared" si="24"/>
        <v>196829.03420976928</v>
      </c>
      <c r="AS67" s="138">
        <f t="shared" si="25"/>
        <v>1059692581.2137157</v>
      </c>
      <c r="AT67" s="139">
        <f t="shared" si="26"/>
        <v>1598.3734951313543</v>
      </c>
      <c r="AU67" s="106">
        <f>IF($D$40,IMDIV(COMPLEX($D$35,$B67,"j"),COMPLEX($D$34,$B67,"j")),1)</f>
        <v>1</v>
      </c>
      <c r="AV67" s="107">
        <f>IMABS(AU67)</f>
        <v>1</v>
      </c>
      <c r="AW67">
        <f t="shared" si="13"/>
        <v>3763.6178803966527</v>
      </c>
      <c r="AX67" s="51">
        <f t="shared" si="14"/>
        <v>0.05160044529671057</v>
      </c>
    </row>
    <row r="68" spans="1:50" ht="15" customHeight="1">
      <c r="A68" s="60">
        <v>10</v>
      </c>
      <c r="B68" s="124">
        <f t="shared" si="11"/>
        <v>62.83185307179586</v>
      </c>
      <c r="H68" s="9" t="str">
        <f>IMDIV(COMPLEX(0,$D$14*$B68,"j"),COMPLEX(1,$B68*$D$20*$D$14,"j"))</f>
        <v>1.83408762861706E-005+1.51402547799843E-003j</v>
      </c>
      <c r="I68" s="10" t="str">
        <f>COMPLEX(1/$D$16,0,"j")</f>
        <v>1.72117039586919E-006</v>
      </c>
      <c r="J68" s="10" t="str">
        <f>IMPRODUCT(1/$D$17,IMDIV(COMPLEX(1/$D$15,0,"j"),COMPLEX(1/$D$15,$B68,"j")))</f>
        <v>3.66221950269773E-013-1.85003646318977E-009j</v>
      </c>
      <c r="K68" s="11" t="str">
        <f>IMSUM($H68,$I68,$J68)</f>
        <v>2.00620470482617E-005+1.51402362796197E-003j</v>
      </c>
      <c r="L68" s="116" t="str">
        <f>COMPLEX($D$18,0,"j")</f>
        <v>12.98</v>
      </c>
      <c r="M68" s="9" t="str">
        <f>IMPRODUCT($L68,$K68)</f>
        <v>2.60405370686437E-004+1.96520266909464E-002j</v>
      </c>
      <c r="N68" s="11">
        <f>IMABS($M68)</f>
        <v>0.01965375190691976</v>
      </c>
      <c r="O68" s="18">
        <f t="shared" si="12"/>
        <v>50.8808702142982</v>
      </c>
      <c r="P68" s="18">
        <f t="shared" si="17"/>
        <v>25.4404351071491</v>
      </c>
      <c r="Q68" s="115">
        <f t="shared" si="18"/>
        <v>1598.4696807349494</v>
      </c>
      <c r="R68" s="9" t="str">
        <f>IMDIV(COMPLEX(1/$D$29,0,"j"),COMPLEX(1-$B68*$B68*$D$30*$D$30,$B68*2*$D$21*$D$30,"j"))</f>
        <v>-5.07824569905134E-004-5.09097313188104E-006j</v>
      </c>
      <c r="S68" s="11">
        <f>IMABS($R68)</f>
        <v>0.000507850087926313</v>
      </c>
      <c r="T68" s="34" t="str">
        <f>IMPRODUCT(IMDIV($D$23,COMPLEX(1,$B68*$D$31,"j")),$AU68)</f>
        <v>376305.658762778-5958.28342909001j</v>
      </c>
      <c r="U68" s="21">
        <f>IMABS($T68)</f>
        <v>376352.82642529695</v>
      </c>
      <c r="V68" s="9" t="str">
        <f>IMPRODUCT($R68,$T68)</f>
        <v>-191.127592774925+1.11000072161442j</v>
      </c>
      <c r="W68" s="188">
        <f>IMABS($V68)</f>
        <v>191.130815991403</v>
      </c>
      <c r="X68" s="10">
        <f t="shared" si="19"/>
        <v>95.5654079957015</v>
      </c>
      <c r="Y68" s="21">
        <f t="shared" si="20"/>
        <v>6004.551673932143</v>
      </c>
      <c r="Z68" s="10" t="str">
        <f>IMPRODUCT($M68,$V68)</f>
        <v>-7.15844154530971E-002-3.75575550443979j</v>
      </c>
      <c r="AA68" s="18">
        <f>IMABS($Z68)</f>
        <v>3.75643763926217</v>
      </c>
      <c r="AB68" s="13">
        <f>180/PI()*IMARGUMENT($Z68)</f>
        <v>-91.09192100612081</v>
      </c>
      <c r="AC68" s="9" t="str">
        <f>IMDIV($V68,IMSUM(1,IMPRODUCT($V68,$M68)))</f>
        <v>-12.1338130936793-47.8897977746829j</v>
      </c>
      <c r="AD68" s="18">
        <f>IMABS($AC68)</f>
        <v>49.403058114780364</v>
      </c>
      <c r="AE68" s="16">
        <f>180/PI()*IMARGUMENT($AC68)</f>
        <v>-104.21779953470376</v>
      </c>
      <c r="AF68" s="33">
        <f t="shared" si="21"/>
        <v>24.701529057390182</v>
      </c>
      <c r="AG68" s="9" t="str">
        <f>IMPRODUCT($AC68,COMPLEX(0,$B68,"j"),COMPLEX($D$19,0,"j"))</f>
        <v>1504.50236870845-381.194980751346j</v>
      </c>
      <c r="AH68" s="12">
        <f>IMABS(AG68)</f>
        <v>1552.0428443826402</v>
      </c>
      <c r="AI68" s="35">
        <f>180/PI()*IMARGUMENT($AG68)</f>
        <v>-14.217799534703742</v>
      </c>
      <c r="AJ68" s="55" t="str">
        <f>IMDIV(COMPLEX(0,$B68,"j"),COMPLEX(1/$D$26,$B68,"j"))</f>
        <v>0.999999960814251+1.97953901561305E-004j</v>
      </c>
      <c r="AK68" s="35">
        <f>IMABS(AJ68)</f>
        <v>0.9999999804071251</v>
      </c>
      <c r="AL68" s="13">
        <f>180/PI()*IMARGUMENT($AJ68)</f>
        <v>0.011341923393905447</v>
      </c>
      <c r="AM68" s="36" t="str">
        <f>IMPRODUCT(AG68,AJ68)</f>
        <v>1504.57776878709-380.897143700141j</v>
      </c>
      <c r="AN68" s="35">
        <f>IMABS(AM68)</f>
        <v>1552.0428139736557</v>
      </c>
      <c r="AO68" s="57">
        <f>180/PI()*IMARGUMENT($AM68)</f>
        <v>-14.20645761130986</v>
      </c>
      <c r="AP68" s="204">
        <f t="shared" si="22"/>
        <v>2396236.823191576</v>
      </c>
      <c r="AQ68" s="137">
        <f t="shared" si="23"/>
        <v>5990.592057978941</v>
      </c>
      <c r="AR68" s="138">
        <f t="shared" si="24"/>
        <v>218698.92689974364</v>
      </c>
      <c r="AS68" s="138">
        <f t="shared" si="25"/>
        <v>1308262445.942859</v>
      </c>
      <c r="AT68" s="139">
        <f t="shared" si="26"/>
        <v>1598.3734951313543</v>
      </c>
      <c r="AU68" s="106">
        <f>IF($D$40,IMDIV(COMPLEX($D$35,$B68,"j"),COMPLEX($D$34,$B68,"j")),1)</f>
        <v>1</v>
      </c>
      <c r="AV68" s="107">
        <f>IMABS(AU68)</f>
        <v>1</v>
      </c>
      <c r="AW68">
        <f t="shared" si="13"/>
        <v>3763.5282642529696</v>
      </c>
      <c r="AX68" s="51">
        <f t="shared" si="14"/>
        <v>0.04605061124036007</v>
      </c>
    </row>
    <row r="69" spans="1:50" ht="15" customHeight="1">
      <c r="A69" s="60">
        <v>15</v>
      </c>
      <c r="B69" s="124">
        <f t="shared" si="11"/>
        <v>94.24777960769379</v>
      </c>
      <c r="H69" s="9" t="str">
        <f>IMDIV(COMPLEX(0,$D$14*$B69,"j"),COMPLEX(1,$B69*$D$20*$D$14,"j"))</f>
        <v>4.12594043075835E-005+2.27062176506879E-003j</v>
      </c>
      <c r="I69" s="10" t="str">
        <f>COMPLEX(1/$D$16,0,"j")</f>
        <v>1.72117039586919E-006</v>
      </c>
      <c r="J69" s="10" t="str">
        <f>IMPRODUCT(1/$D$17,IMDIV(COMPLEX(1/$D$15,0,"j"),COMPLEX(1/$D$15,$B69,"j")))</f>
        <v>1.62765314774389E-013-1.23335766897653E-009j</v>
      </c>
      <c r="K69" s="11" t="str">
        <f>IMSUM($H69,$I69,$J69)</f>
        <v>4.2980574866218E-005+2.27062053171112E-003j</v>
      </c>
      <c r="L69" s="116" t="str">
        <f>COMPLEX($D$18,0,"j")</f>
        <v>12.98</v>
      </c>
      <c r="M69" s="9" t="str">
        <f>IMPRODUCT($L69,$K69)</f>
        <v>5.5788786176351E-004+2.94726545016103E-002j</v>
      </c>
      <c r="N69" s="11">
        <f>IMABS($M69)</f>
        <v>0.029477934158241022</v>
      </c>
      <c r="O69" s="18">
        <f t="shared" si="12"/>
        <v>33.923679815277495</v>
      </c>
      <c r="P69" s="18">
        <f t="shared" si="17"/>
        <v>16.961839907638748</v>
      </c>
      <c r="Q69" s="115">
        <f t="shared" si="18"/>
        <v>1598.6157493561218</v>
      </c>
      <c r="R69" s="9" t="str">
        <f>IMDIV(COMPLEX(1/$D$29,0,"j"),COMPLEX(1-$B69*$B69*$D$30*$D$30,$B69*2*$D$21*$D$30,"j"))</f>
        <v>-2.25398599901915E-004-1.50432880913402E-006j</v>
      </c>
      <c r="S69" s="11">
        <f>IMABS($R69)</f>
        <v>0.00022540361985316372</v>
      </c>
      <c r="T69" s="34" t="str">
        <f>IMPRODUCT(IMDIV($D$23,COMPLEX(1,$B69*$D$31,"j")),$AU69)</f>
        <v>376187.798699158-8934.62591521123j</v>
      </c>
      <c r="U69" s="21">
        <f>IMABS($T69)</f>
        <v>376293.88439139293</v>
      </c>
      <c r="V69" s="9" t="str">
        <f>IMPRODUCT($R69,$T69)</f>
        <v>-84.8056437421368+1.44794202870812j</v>
      </c>
      <c r="W69" s="186">
        <f>IMABS($V69)</f>
        <v>84.81800367042793</v>
      </c>
      <c r="X69" s="10">
        <f t="shared" si="19"/>
        <v>42.409001835213964</v>
      </c>
      <c r="Y69" s="21">
        <f t="shared" si="20"/>
        <v>3996.954258347527</v>
      </c>
      <c r="Z69" s="10" t="str">
        <f>IMPRODUCT($M69,$V69)</f>
        <v>-8.99867344032538E-002-2.49863964851629j</v>
      </c>
      <c r="AA69" s="18">
        <f>IMABS($Z69)</f>
        <v>2.500259527630316</v>
      </c>
      <c r="AB69" s="13">
        <f>180/PI()*IMARGUMENT($Z69)</f>
        <v>-92.06257542155444</v>
      </c>
      <c r="AC69" s="9" t="str">
        <f>IMDIV($V69,IMSUM(1,IMPRODUCT($V69,$M69)))</f>
        <v>-11.4253205566779-29.7795844695128j</v>
      </c>
      <c r="AD69" s="18">
        <f>IMABS($AC69)</f>
        <v>31.8961063611171</v>
      </c>
      <c r="AE69" s="16">
        <f>180/PI()*IMARGUMENT($AC69)</f>
        <v>-110.98995317741361</v>
      </c>
      <c r="AF69" s="33">
        <f t="shared" si="21"/>
        <v>15.94805318055855</v>
      </c>
      <c r="AG69" s="9" t="str">
        <f>IMPRODUCT($AC69,COMPLEX(0,$B69,"j"),COMPLEX($D$19,0,"j"))</f>
        <v>1403.32985694567-538.405546886516j</v>
      </c>
      <c r="AH69" s="12">
        <f>IMABS(AG69)</f>
        <v>1503.0686013330605</v>
      </c>
      <c r="AI69" s="35">
        <f>180/PI()*IMARGUMENT($AG69)</f>
        <v>-20.989953177413632</v>
      </c>
      <c r="AJ69" s="55" t="str">
        <f>IMDIV(COMPLEX(0,$B69,"j"),COMPLEX(1/$D$26,$B69,"j"))</f>
        <v>0.999999982584111+1.31969270580489E-004j</v>
      </c>
      <c r="AK69" s="35">
        <f>IMABS(AJ69)</f>
        <v>0.9999999912920553</v>
      </c>
      <c r="AL69" s="13">
        <f>180/PI()*IMARGUMENT($AJ69)</f>
        <v>0.007561282317472969</v>
      </c>
      <c r="AM69" s="36" t="str">
        <f>IMPRODUCT(AG69,AJ69)</f>
        <v>1403.40088549273-538.2203410921j</v>
      </c>
      <c r="AN69" s="35">
        <f>IMABS(AM69)</f>
        <v>1503.0685882444204</v>
      </c>
      <c r="AO69" s="57">
        <f>180/PI()*IMARGUMENT($AM69)</f>
        <v>-20.982391895096196</v>
      </c>
      <c r="AP69" s="204">
        <f t="shared" si="22"/>
        <v>3594355.2347873645</v>
      </c>
      <c r="AQ69" s="137">
        <f t="shared" si="23"/>
        <v>3993.728038652627</v>
      </c>
      <c r="AR69" s="138">
        <f t="shared" si="24"/>
        <v>328048.3903496154</v>
      </c>
      <c r="AS69" s="138">
        <f t="shared" si="25"/>
        <v>2943590503.371431</v>
      </c>
      <c r="AT69" s="139">
        <f t="shared" si="26"/>
        <v>1598.3734951313543</v>
      </c>
      <c r="AU69" s="106">
        <f>IF($D$40,IMDIV(COMPLEX($D$35,$B69,"j"),COMPLEX($D$34,$B69,"j")),1)</f>
        <v>1</v>
      </c>
      <c r="AV69" s="107">
        <f>IMABS(AU69)</f>
        <v>1</v>
      </c>
      <c r="AW69">
        <f t="shared" si="13"/>
        <v>3762.9388439139293</v>
      </c>
      <c r="AX69" s="51">
        <f t="shared" si="14"/>
        <v>0.029446304967145624</v>
      </c>
    </row>
    <row r="70" spans="1:50" ht="15" customHeight="1">
      <c r="A70" s="60">
        <v>20</v>
      </c>
      <c r="B70" s="124">
        <f t="shared" si="11"/>
        <v>125.66370614359172</v>
      </c>
      <c r="H70" s="9" t="str">
        <f>IMDIV(COMPLEX(0,$D$14*$B70,"j"),COMPLEX(1,$B70*$D$20*$D$14,"j"))</f>
        <v>7.33312261299698E-005+3.02671865186054E-003j</v>
      </c>
      <c r="I70" s="10" t="str">
        <f>COMPLEX(1/$D$16,0,"j")</f>
        <v>1.72117039586919E-006</v>
      </c>
      <c r="J70" s="10" t="str">
        <f>IMPRODUCT(1/$D$17,IMDIV(COMPLEX(1/$D$15,0,"j"),COMPLEX(1/$D$15,$B70,"j")))</f>
        <v>9.15554902581959E-014-9.25018258780532E-010j</v>
      </c>
      <c r="K70" s="11" t="str">
        <f>IMSUM($H70,$I70,$J70)</f>
        <v>7.50523966173945E-005+3.02671772684228E-003j</v>
      </c>
      <c r="L70" s="116" t="str">
        <f>COMPLEX($D$18,0,"j")</f>
        <v>12.98</v>
      </c>
      <c r="M70" s="9" t="str">
        <f>IMPRODUCT($L70,$K70)</f>
        <v>9.74180108093781E-004+3.92867960944128E-002j</v>
      </c>
      <c r="N70" s="11">
        <f>IMABS($M70)</f>
        <v>0.039298872429714506</v>
      </c>
      <c r="O70" s="18">
        <f t="shared" si="12"/>
        <v>25.446022701757826</v>
      </c>
      <c r="P70" s="18">
        <f t="shared" si="17"/>
        <v>12.723011350878913</v>
      </c>
      <c r="Q70" s="115">
        <f t="shared" si="18"/>
        <v>1598.8207596584298</v>
      </c>
      <c r="R70" s="9" t="str">
        <f>IMDIV(COMPLEX(1/$D$29,0,"j"),COMPLEX(1-$B70*$B70*$D$30*$D$30,$B70*2*$D$21*$D$30,"j"))</f>
        <v>-1.26727514080015E-004-6.34033841551043E-007j</v>
      </c>
      <c r="S70" s="11">
        <f>IMABS($R70)</f>
        <v>0.00012672910014599107</v>
      </c>
      <c r="T70" s="34" t="str">
        <f>IMPRODUCT(IMDIV($D$23,COMPLEX(1,$B70*$D$31,"j")),$AU70)</f>
        <v>376022.918587193-11907.6132532384j</v>
      </c>
      <c r="U70" s="21">
        <f>IMABS($T70)</f>
        <v>376211.41204942134</v>
      </c>
      <c r="V70" s="9" t="str">
        <f>IMPRODUCT($R70,$T70)</f>
        <v>-47.6599995394415+1.27061097062607j</v>
      </c>
      <c r="W70" s="186">
        <f>IMABS($V70)</f>
        <v>47.67693371367584</v>
      </c>
      <c r="X70" s="10">
        <f t="shared" si="19"/>
        <v>23.83846685683792</v>
      </c>
      <c r="Y70" s="21">
        <f t="shared" si="20"/>
        <v>2995.6300940114306</v>
      </c>
      <c r="Z70" s="10" t="str">
        <f>IMPRODUCT($M70,$V70)</f>
        <v>-9.6347657621393E-002-1.87117087983314j</v>
      </c>
      <c r="AA70" s="18">
        <f>IMABS($Z70)</f>
        <v>1.8736497358537043</v>
      </c>
      <c r="AB70" s="13">
        <f>180/PI()*IMARGUMENT($Z70)</f>
        <v>-92.947589299487</v>
      </c>
      <c r="AC70" s="9" t="str">
        <f>IMDIV($V70,IMSUM(1,IMPRODUCT($V70,$M70)))</f>
        <v>-10.5250091679612-20.387796091963j</v>
      </c>
      <c r="AD70" s="18">
        <f>IMABS($AC70)</f>
        <v>22.944237783659954</v>
      </c>
      <c r="AE70" s="16">
        <f>180/PI()*IMARGUMENT($AC70)</f>
        <v>-117.30462208635718</v>
      </c>
      <c r="AF70" s="33">
        <f t="shared" si="21"/>
        <v>11.472118891829977</v>
      </c>
      <c r="AG70" s="9" t="str">
        <f>IMPRODUCT($AC70,COMPLEX(0,$B70,"j"),COMPLEX($D$19,0,"j"))</f>
        <v>1281.00300850796-661.305829620644j</v>
      </c>
      <c r="AH70" s="12">
        <f>IMABS(AG70)</f>
        <v>1441.628977267276</v>
      </c>
      <c r="AI70" s="35">
        <f>180/PI()*IMARGUMENT($AG70)</f>
        <v>-27.30462208635712</v>
      </c>
      <c r="AJ70" s="55" t="str">
        <f>IMDIV(COMPLEX(0,$B70,"j"),COMPLEX(1/$D$26,$B70,"j"))</f>
        <v>0.999999990203563+9.89769536895169E-005j</v>
      </c>
      <c r="AK70" s="35">
        <f>IMABS(AJ70)</f>
        <v>0.9999999951017817</v>
      </c>
      <c r="AL70" s="13">
        <f>180/PI()*IMARGUMENT($AJ70)</f>
        <v>0.005670961752507932</v>
      </c>
      <c r="AM70" s="36" t="str">
        <f>IMPRODUCT(AG70,AJ70)</f>
        <v>1281.06844999517-661.179033366754j</v>
      </c>
      <c r="AN70" s="35">
        <f>IMABS(AM70)</f>
        <v>1441.628970205865</v>
      </c>
      <c r="AO70" s="57">
        <f>180/PI()*IMARGUMENT($AM70)</f>
        <v>-27.29895112460457</v>
      </c>
      <c r="AP70" s="204">
        <f t="shared" si="22"/>
        <v>4792473.646383152</v>
      </c>
      <c r="AQ70" s="137">
        <f t="shared" si="23"/>
        <v>2995.2960289894704</v>
      </c>
      <c r="AR70" s="138">
        <f t="shared" si="24"/>
        <v>437397.8537994873</v>
      </c>
      <c r="AS70" s="138">
        <f t="shared" si="25"/>
        <v>5233049783.771436</v>
      </c>
      <c r="AT70" s="139">
        <f t="shared" si="26"/>
        <v>1598.3734951313543</v>
      </c>
      <c r="AU70" s="106">
        <f>IF($D$40,IMDIV(COMPLEX($D$35,$B70,"j"),COMPLEX($D$34,$B70,"j")),1)</f>
        <v>1</v>
      </c>
      <c r="AV70" s="107">
        <f>IMABS(AU70)</f>
        <v>1</v>
      </c>
      <c r="AW70">
        <f t="shared" si="13"/>
        <v>3762.1141204942132</v>
      </c>
      <c r="AX70" s="51">
        <f t="shared" si="14"/>
        <v>0.021207691376894842</v>
      </c>
    </row>
    <row r="71" spans="1:50" ht="15" customHeight="1">
      <c r="A71" s="61">
        <v>30</v>
      </c>
      <c r="B71" s="124">
        <f t="shared" si="11"/>
        <v>188.49555921538757</v>
      </c>
      <c r="H71" s="23" t="str">
        <f>IMDIV(COMPLEX(0,$D$14*$B71,"j"),COMPLEX(1,$B71*$D$20*$D$14,"j"))</f>
        <v>1.64874354406772E-004+4.53675112256617E-003j</v>
      </c>
      <c r="I71" s="24" t="str">
        <f>COMPLEX(1/$D$16,0,"j")</f>
        <v>1.72117039586919E-006</v>
      </c>
      <c r="J71" s="24" t="str">
        <f>IMPRODUCT(1/$D$17,IMDIV(COMPLEX(1/$D$15,0,"j"),COMPLEX(1/$D$15,$B71,"j")))</f>
        <v>4.06913292251037E-014-6.16678842543274E-010j</v>
      </c>
      <c r="K71" s="25" t="str">
        <f>IMSUM($H71,$I71,$J71)</f>
        <v>1.66595524843333E-004+4.53675050588733E-003j</v>
      </c>
      <c r="L71" s="117" t="str">
        <f>COMPLEX($D$18,0,"j")</f>
        <v>12.98</v>
      </c>
      <c r="M71" s="23" t="str">
        <f>IMPRODUCT($L71,$K71)</f>
        <v>2.16240991246646E-003+5.88870215664175E-002j</v>
      </c>
      <c r="N71" s="25">
        <f>IMABS($M71)</f>
        <v>0.05892671147784554</v>
      </c>
      <c r="O71" s="26">
        <f t="shared" si="12"/>
        <v>16.970232597757747</v>
      </c>
      <c r="P71" s="18">
        <f t="shared" si="17"/>
        <v>8.485116298878873</v>
      </c>
      <c r="Q71" s="118">
        <f t="shared" si="18"/>
        <v>1599.406741764773</v>
      </c>
      <c r="R71" s="23" t="str">
        <f>IMDIV(COMPLEX(1/$D$29,0,"j"),COMPLEX(1-$B71*$B71*$D$30*$D$30,$B71*2*$D$21*$D$30,"j"))</f>
        <v>-5.63045608436961E-005-1.87734017817269E-007j</v>
      </c>
      <c r="S71" s="25">
        <f>IMABS($R71)</f>
        <v>5.6304873819793984E-05</v>
      </c>
      <c r="T71" s="34" t="str">
        <f>IMPRODUCT(IMDIV($D$23,COMPLEX(1,$B71*$D$31,"j")),$AU71)</f>
        <v>375552.627953784-17839.0806604811j</v>
      </c>
      <c r="U71" s="201">
        <f>IMABS($T71)</f>
        <v>375976.0752518762</v>
      </c>
      <c r="V71" s="23" t="str">
        <f>IMPRODUCT($R71,$T71)</f>
        <v>-21.1486747929204+0.933917598696063j</v>
      </c>
      <c r="W71" s="187">
        <f>IMABS($V71)</f>
        <v>21.1692854763183</v>
      </c>
      <c r="X71" s="10">
        <f t="shared" si="19"/>
        <v>10.58464273815915</v>
      </c>
      <c r="Y71" s="21">
        <f t="shared" si="20"/>
        <v>1995.1581520244001</v>
      </c>
      <c r="Z71" s="24" t="str">
        <f>IMPRODUCT($M71,$V71)</f>
        <v>-0.100727729783413-1.24336295595901j</v>
      </c>
      <c r="AA71" s="26">
        <f>IMABS($Z71)</f>
        <v>1.2474363774551582</v>
      </c>
      <c r="AB71" s="27">
        <f>180/PI()*IMARGUMENT($Z71)</f>
        <v>-94.63154997142823</v>
      </c>
      <c r="AC71" s="23" t="str">
        <f>IMDIV($V71,IMSUM(1,IMPRODUCT($V71,$M71)))</f>
        <v>-8.57014138766138-10.8108289914374j</v>
      </c>
      <c r="AD71" s="26">
        <f>IMABS($AC71)</f>
        <v>13.79570030431982</v>
      </c>
      <c r="AE71" s="28">
        <f>180/PI()*IMARGUMENT($AC71)</f>
        <v>-128.4051553320204</v>
      </c>
      <c r="AF71" s="33">
        <f t="shared" si="21"/>
        <v>6.89785015215991</v>
      </c>
      <c r="AG71" s="23" t="str">
        <f>IMPRODUCT($AC71,COMPLEX(0,$B71,"j"),COMPLEX($D$19,0,"j"))</f>
        <v>1018.89662816146-807.716796711087j</v>
      </c>
      <c r="AH71" s="29">
        <f>IMABS(AG71)</f>
        <v>1300.2141218153308</v>
      </c>
      <c r="AI71" s="53">
        <f>180/PI()*IMARGUMENT($AG71)</f>
        <v>-38.40515533202042</v>
      </c>
      <c r="AJ71" s="55" t="str">
        <f>IMDIV(COMPLEX(0,$B71,"j"),COMPLEX(1/$D$26,$B71,"j"))</f>
        <v>0.999999995646028+6.59846361521303E-005j</v>
      </c>
      <c r="AK71" s="35">
        <f>IMABS(AJ71)</f>
        <v>0.9999999978230142</v>
      </c>
      <c r="AL71" s="13">
        <f>180/PI()*IMARGUMENT($AJ71)</f>
        <v>0.003780641175197289</v>
      </c>
      <c r="AM71" s="36" t="str">
        <f>IMPRODUCT(AG71,AJ71)</f>
        <v>1018.94992062416-807.649561671025j</v>
      </c>
      <c r="AN71" s="35">
        <f>IMABS(AM71)</f>
        <v>1300.214118984785</v>
      </c>
      <c r="AO71" s="57">
        <f>180/PI()*IMARGUMENT($AM71)</f>
        <v>-38.40137469084517</v>
      </c>
      <c r="AP71" s="204">
        <f t="shared" si="22"/>
        <v>7188710.469574729</v>
      </c>
      <c r="AQ71" s="137">
        <f t="shared" si="23"/>
        <v>1996.8640193263136</v>
      </c>
      <c r="AR71" s="138">
        <f t="shared" si="24"/>
        <v>656096.7806992308</v>
      </c>
      <c r="AS71" s="138">
        <f t="shared" si="25"/>
        <v>11774362013.485723</v>
      </c>
      <c r="AT71" s="139">
        <f t="shared" si="26"/>
        <v>1598.3734951313543</v>
      </c>
      <c r="AU71" s="106">
        <f>IF($D$40,IMDIV(COMPLEX($D$35,$B71,"j"),COMPLEX($D$34,$B71,"j")),1)</f>
        <v>1</v>
      </c>
      <c r="AV71" s="107">
        <f>IMABS(AU71)</f>
        <v>1</v>
      </c>
      <c r="AW71">
        <f t="shared" si="13"/>
        <v>3759.760752518762</v>
      </c>
      <c r="AX71" s="51">
        <f t="shared" si="14"/>
        <v>0.013110633765553664</v>
      </c>
    </row>
    <row r="72" spans="1:50" ht="15" customHeight="1">
      <c r="A72" s="61">
        <v>40</v>
      </c>
      <c r="B72" s="124">
        <f t="shared" si="11"/>
        <v>251.32741228718345</v>
      </c>
      <c r="H72" s="23" t="str">
        <f>IMDIV(COMPLEX(0,$D$14*$B72,"j"),COMPLEX(1,$B72*$D$20*$D$14,"j"))</f>
        <v>2.92809574477024E-004+6.04280227731493E-003j</v>
      </c>
      <c r="I72" s="24" t="str">
        <f>COMPLEX(1/$D$16,0,"j")</f>
        <v>1.72117039586919E-006</v>
      </c>
      <c r="J72" s="24" t="str">
        <f>IMPRODUCT(1/$D$17,IMDIV(COMPLEX(1/$D$15,0,"j"),COMPLEX(1/$D$15,$B72,"j")))</f>
        <v>2.28888727327212E-014-4.62509132788474E-010j</v>
      </c>
      <c r="K72" s="25" t="str">
        <f>IMSUM($H72,$I72,$J72)</f>
        <v>2.94530744895782E-004+6.0428018148058E-003j</v>
      </c>
      <c r="L72" s="117" t="str">
        <f>COMPLEX($D$18,0,"j")</f>
        <v>12.98</v>
      </c>
      <c r="M72" s="23" t="str">
        <f>IMPRODUCT($L72,$K72)</f>
        <v>3.82300906874725E-003+7.84355675561793E-002j</v>
      </c>
      <c r="N72" s="25">
        <f>IMABS($M72)</f>
        <v>0.07852868046898337</v>
      </c>
      <c r="O72" s="26">
        <f t="shared" si="12"/>
        <v>12.734200982722127</v>
      </c>
      <c r="P72" s="18">
        <f t="shared" si="17"/>
        <v>6.367100491361064</v>
      </c>
      <c r="Q72" s="118">
        <f t="shared" si="18"/>
        <v>1600.2268902662304</v>
      </c>
      <c r="R72" s="23" t="str">
        <f>IMDIV(COMPLEX(1/$D$29,0,"j"),COMPLEX(1-$B72*$B72*$D$30*$D$30,$B72*2*$D$21*$D$30,"j"))</f>
        <v>-3.16676200003004E-005-7.91814220979539E-008j</v>
      </c>
      <c r="S72" s="25">
        <f>IMABS($R72)</f>
        <v>3.166771899239084E-05</v>
      </c>
      <c r="T72" s="34" t="str">
        <f>IMPRODUCT(IMDIV($D$23,COMPLEX(1,$B72*$D$31,"j")),$AU72)</f>
        <v>374896.19393418-23743.8659550435j</v>
      </c>
      <c r="U72" s="201">
        <f>IMABS($T72)</f>
        <v>375647.34445597423</v>
      </c>
      <c r="V72" s="23" t="str">
        <f>IMPRODUCT($R72,$T72)</f>
        <v>-11.873950282139+0.722226910627569j</v>
      </c>
      <c r="W72" s="187">
        <f>IMABS($V72)</f>
        <v>11.89589454446968</v>
      </c>
      <c r="X72" s="10">
        <f t="shared" si="19"/>
        <v>5.94794727223484</v>
      </c>
      <c r="Y72" s="21">
        <f t="shared" si="20"/>
        <v>1494.8821963513938</v>
      </c>
      <c r="Z72" s="24" t="str">
        <f>IMPRODUCT($M72,$V72)</f>
        <v>-0.102042497249891-0.928578949484405j</v>
      </c>
      <c r="AA72" s="26">
        <f>IMABS($Z72)</f>
        <v>0.9341689015753817</v>
      </c>
      <c r="AB72" s="27">
        <f>180/PI()*IMARGUMENT($Z72)</f>
        <v>-96.27112954222319</v>
      </c>
      <c r="AC72" s="23" t="str">
        <f>IMDIV($V72,IMSUM(1,IMPRODUCT($V72,$M72)))</f>
        <v>-6.79194465655023-6.21925860233298j</v>
      </c>
      <c r="AD72" s="26">
        <f>IMABS($AC72)</f>
        <v>9.209217653000389</v>
      </c>
      <c r="AE72" s="28">
        <f>180/PI()*IMARGUMENT($AC72)</f>
        <v>-137.52023802506707</v>
      </c>
      <c r="AF72" s="33">
        <f t="shared" si="21"/>
        <v>4.604608826500194</v>
      </c>
      <c r="AG72" s="23" t="str">
        <f>IMPRODUCT($AC72,COMPLEX(0,$B72,"j"),COMPLEX($D$19,0,"j"))</f>
        <v>781.535085434575-853.500937464265j</v>
      </c>
      <c r="AH72" s="29">
        <f>IMABS(AG72)</f>
        <v>1157.2644209590164</v>
      </c>
      <c r="AI72" s="53">
        <f>180/PI()*IMARGUMENT($AG72)</f>
        <v>-47.52023802506709</v>
      </c>
      <c r="AJ72" s="55" t="str">
        <f>IMDIV(COMPLEX(0,$B72,"j"),COMPLEX(1/$D$26,$B72,"j"))</f>
        <v>0.999999997550891+4.94884772083667E-005j</v>
      </c>
      <c r="AK72" s="35">
        <f>IMABS(AJ72)</f>
        <v>0.9999999987754457</v>
      </c>
      <c r="AL72" s="13">
        <f>180/PI()*IMARGUMENT($AJ72)</f>
        <v>0.002835480883198379</v>
      </c>
      <c r="AM72" s="36" t="str">
        <f>IMPRODUCT(AG72,AJ72)</f>
        <v>781.577321982201-853.462258392685j</v>
      </c>
      <c r="AN72" s="35">
        <f>IMABS(AM72)</f>
        <v>1157.264419541883</v>
      </c>
      <c r="AO72" s="57">
        <f>180/PI()*IMARGUMENT($AM72)</f>
        <v>-47.5174025441839</v>
      </c>
      <c r="AP72" s="204">
        <f t="shared" si="22"/>
        <v>9584947.292766305</v>
      </c>
      <c r="AQ72" s="137">
        <f t="shared" si="23"/>
        <v>1497.6480144947352</v>
      </c>
      <c r="AR72" s="138">
        <f t="shared" si="24"/>
        <v>874795.7075989746</v>
      </c>
      <c r="AS72" s="138">
        <f t="shared" si="25"/>
        <v>20932199135.085743</v>
      </c>
      <c r="AT72" s="139">
        <f t="shared" si="26"/>
        <v>1598.3734951313543</v>
      </c>
      <c r="AU72" s="106">
        <f>IF($D$40,IMDIV(COMPLEX($D$35,$B72,"j"),COMPLEX($D$34,$B72,"j")),1)</f>
        <v>1</v>
      </c>
      <c r="AV72" s="107">
        <f>IMABS(AU72)</f>
        <v>1</v>
      </c>
      <c r="AW72">
        <f t="shared" si="13"/>
        <v>3756.4734445597423</v>
      </c>
      <c r="AX72" s="355">
        <f t="shared" si="14"/>
        <v>0.00919998347048145</v>
      </c>
    </row>
    <row r="73" spans="1:50" ht="15" customHeight="1">
      <c r="A73" s="60">
        <v>50</v>
      </c>
      <c r="B73" s="124">
        <f t="shared" si="11"/>
        <v>314.1592653589793</v>
      </c>
      <c r="H73" s="9" t="str">
        <f>IMDIV(COMPLEX(0,$D$14*$B73,"j"),COMPLEX(1,$B73*$D$20*$D$14,"j"))</f>
        <v>4.56912911981362E-004+7.54356312285746E-003j</v>
      </c>
      <c r="I73" s="10" t="str">
        <f>COMPLEX(1/$D$16,0,"j")</f>
        <v>1.72117039586919E-006</v>
      </c>
      <c r="J73" s="10" t="str">
        <f>IMPRODUCT(1/$D$17,IMDIV(COMPLEX(1/$D$15,0,"j"),COMPLEX(1/$D$15,$B73,"j")))</f>
        <v>1.46488785618572E-014-3.70007306557007E-010j</v>
      </c>
      <c r="K73" s="11" t="str">
        <f>IMSUM($H73,$I73,$J73)</f>
        <v>4.5863408239188E-004+7.54356275285015E-003j</v>
      </c>
      <c r="L73" s="116" t="str">
        <f>COMPLEX($D$18,0,"j")</f>
        <v>12.98</v>
      </c>
      <c r="M73" s="9" t="str">
        <f>IMPRODUCT($L73,$K73)</f>
        <v>5.9530703894466E-003+9.79154445319949E-002j</v>
      </c>
      <c r="N73" s="11">
        <f>IMABS($M73)</f>
        <v>0.09809624521336112</v>
      </c>
      <c r="O73" s="18">
        <f t="shared" si="12"/>
        <v>10.194070097433208</v>
      </c>
      <c r="P73" s="18">
        <f t="shared" si="17"/>
        <v>5.097035048716604</v>
      </c>
      <c r="Q73" s="115">
        <f t="shared" si="18"/>
        <v>1601.2807864137778</v>
      </c>
      <c r="R73" s="9" t="str">
        <f>IMDIV(COMPLEX(1/$D$29,0,"j"),COMPLEX(1-$B73*$B73*$D$30*$D$30,$B73*2*$D$21*$D$30,"j"))</f>
        <v>-2.02661822738586E-005-4.05364181895362E-008j</v>
      </c>
      <c r="S73" s="11">
        <f>IMABS($R73)</f>
        <v>2.026622281429029E-05</v>
      </c>
      <c r="T73" s="34" t="str">
        <f>IMPRODUCT(IMDIV($D$23,COMPLEX(1,$B73*$D$31,"j")),$AU73)</f>
        <v>374055.571700669-29613.2819494466j</v>
      </c>
      <c r="U73" s="21">
        <f>IMABS($T73)</f>
        <v>375225.95484338736</v>
      </c>
      <c r="V73" s="9" t="str">
        <f>IMPRODUCT($R73,$T73)</f>
        <v>-7.58187881301921+0.584985296634067j</v>
      </c>
      <c r="W73" s="58">
        <f>IMABS($V73)</f>
        <v>7.604412806560914</v>
      </c>
      <c r="X73" s="10">
        <f t="shared" si="19"/>
        <v>3.802206403280457</v>
      </c>
      <c r="Y73" s="21">
        <f t="shared" si="20"/>
        <v>1194.4983703977955</v>
      </c>
      <c r="Z73" s="10" t="str">
        <f>IMPRODUCT($M73,$V73)</f>
        <v>-0.102414553622763-0.738900575716836j</v>
      </c>
      <c r="AA73" s="18">
        <f>IMABS($Z73)</f>
        <v>0.7459643433760234</v>
      </c>
      <c r="AB73" s="13">
        <f>180/PI()*IMARGUMENT($Z73)</f>
        <v>-97.89114640656827</v>
      </c>
      <c r="AC73" s="9" t="str">
        <f>IMDIV($V73,IMSUM(1,IMPRODUCT($V73,$M73)))</f>
        <v>-5.35472745428219-3.75632862113582j</v>
      </c>
      <c r="AD73" s="18">
        <f>IMABS($AC73)</f>
        <v>6.5408799728788445</v>
      </c>
      <c r="AE73" s="16">
        <f>180/PI()*IMARGUMENT($AC73)</f>
        <v>-144.95043111203336</v>
      </c>
      <c r="AF73" s="33">
        <f t="shared" si="21"/>
        <v>3.2704399864394222</v>
      </c>
      <c r="AG73" s="9" t="str">
        <f>IMPRODUCT($AC73,COMPLEX(0,$B73,"j"),COMPLEX($D$19,0,"j"))</f>
        <v>590.042720031468-841.118621617424j</v>
      </c>
      <c r="AH73" s="12">
        <f>IMABS(AG73)</f>
        <v>1027.4390235404378</v>
      </c>
      <c r="AI73" s="35">
        <f>180/PI()*IMARGUMENT($AG73)</f>
        <v>-54.950431112033336</v>
      </c>
      <c r="AJ73" s="55" t="str">
        <f>IMDIV(COMPLEX(0,$B73,"j"),COMPLEX(1/$D$26,$B73,"j"))</f>
        <v>0.99999999843257+3.95907818015997E-005j</v>
      </c>
      <c r="AK73" s="35">
        <f>IMABS(AJ73)</f>
        <v>0.9999999992162849</v>
      </c>
      <c r="AL73" s="13">
        <f>180/PI()*IMARGUMENT($AJ73)</f>
        <v>0.0022683847072253647</v>
      </c>
      <c r="AM73" s="36" t="str">
        <f>IMPRODUCT(AG73,AJ73)</f>
        <v>590.076019650435-841.095260046447j</v>
      </c>
      <c r="AN73" s="35">
        <f>IMABS(AM73)</f>
        <v>1027.4390227352185</v>
      </c>
      <c r="AO73" s="57">
        <f>180/PI()*IMARGUMENT($AM73)</f>
        <v>-54.94816272732611</v>
      </c>
      <c r="AP73" s="204">
        <f t="shared" si="22"/>
        <v>11981184.11595788</v>
      </c>
      <c r="AQ73" s="137">
        <f t="shared" si="23"/>
        <v>1198.118411595788</v>
      </c>
      <c r="AR73" s="138">
        <f t="shared" si="24"/>
        <v>1093494.6344987182</v>
      </c>
      <c r="AS73" s="138">
        <f t="shared" si="25"/>
        <v>32706561148.571472</v>
      </c>
      <c r="AT73" s="139">
        <f t="shared" si="26"/>
        <v>1598.3734951313543</v>
      </c>
      <c r="AU73" s="106">
        <f>IF($D$40,IMDIV(COMPLEX($D$35,$B73,"j"),COMPLEX($D$34,$B73,"j")),1)</f>
        <v>1</v>
      </c>
      <c r="AV73" s="107">
        <f>IMABS(AU73)</f>
        <v>1</v>
      </c>
      <c r="AW73">
        <f t="shared" si="13"/>
        <v>3752.2595484338735</v>
      </c>
      <c r="AX73" s="355">
        <f t="shared" si="14"/>
        <v>0.006947198271553703</v>
      </c>
    </row>
    <row r="74" spans="1:50" ht="15" customHeight="1">
      <c r="A74" s="60">
        <v>60</v>
      </c>
      <c r="B74" s="124">
        <f t="shared" si="11"/>
        <v>376.99111843077515</v>
      </c>
      <c r="H74" s="9" t="str">
        <f>IMDIV(COMPLEX(0,$D$14*$B74,"j"),COMPLEX(1,$B74*$D$20*$D$14,"j"))</f>
        <v>6.56898082094374E-004+9.0377400477961E-003j</v>
      </c>
      <c r="I74" s="10" t="str">
        <f>COMPLEX(1/$D$16,0,"j")</f>
        <v>1.72117039586919E-006</v>
      </c>
      <c r="J74" s="10" t="str">
        <f>IMPRODUCT(1/$D$17,IMDIV(COMPLEX(1/$D$15,0,"j"),COMPLEX(1/$D$15,$B74,"j")))</f>
        <v>1.01728323394951E-014-3.08339422278514E-010j</v>
      </c>
      <c r="K74" s="11" t="str">
        <f>IMSUM($H74,$I74,$J74)</f>
        <v>6.58619252500416E-004+9.03773973945668E-003j</v>
      </c>
      <c r="L74" s="116" t="str">
        <f>COMPLEX($D$18,0,"j")</f>
        <v>12.98</v>
      </c>
      <c r="M74" s="9" t="str">
        <f>IMPRODUCT($L74,$K74)</f>
        <v>8.5488778974554E-003+0.117309861818148j</v>
      </c>
      <c r="N74" s="11">
        <f>IMABS($M74)</f>
        <v>0.11762094623449762</v>
      </c>
      <c r="O74" s="18">
        <f t="shared" si="12"/>
        <v>8.501887053402271</v>
      </c>
      <c r="P74" s="18">
        <f t="shared" si="17"/>
        <v>4.2509435267011355</v>
      </c>
      <c r="Q74" s="115">
        <f t="shared" si="18"/>
        <v>1602.5679545171247</v>
      </c>
      <c r="R74" s="9" t="str">
        <f>IMDIV(COMPLEX(1/$D$29,0,"j"),COMPLEX(1-$B74*$B74*$D$30*$D$30,$B74*2*$D$21*$D$30,"j"))</f>
        <v>-1.40733248359322E-005-2.34571703633844E-008j</v>
      </c>
      <c r="S74" s="11">
        <f>IMABS($R74)</f>
        <v>1.4073344384918161E-05</v>
      </c>
      <c r="T74" s="34" t="str">
        <f>IMPRODUCT(IMDIV($D$23,COMPLEX(1,$B74*$D$31,"j")),$AU74)</f>
        <v>373033.25004414-35438.8159807938j</v>
      </c>
      <c r="U74" s="21">
        <f>IMABS($T74)</f>
        <v>374712.84381058306</v>
      </c>
      <c r="V74" s="9" t="str">
        <f>IMPRODUCT($R74,$T74)</f>
        <v>-5.25064939681864+0.489991664601044j</v>
      </c>
      <c r="W74" s="58">
        <f>IMABS($V74)</f>
        <v>5.273462896398386</v>
      </c>
      <c r="X74" s="10">
        <f t="shared" si="19"/>
        <v>2.636731448199193</v>
      </c>
      <c r="Y74" s="21">
        <f t="shared" si="20"/>
        <v>994.0243376582113</v>
      </c>
      <c r="Z74" s="10" t="str">
        <f>IMPRODUCT($M74,$V74)</f>
        <v>-0.102368015042143-0.611764076284892j</v>
      </c>
      <c r="AA74" s="18">
        <f>IMABS($Z74)</f>
        <v>0.6202696958068931</v>
      </c>
      <c r="AB74" s="13">
        <f>180/PI()*IMARGUMENT($Z74)</f>
        <v>-99.49943681968867</v>
      </c>
      <c r="AC74" s="9" t="str">
        <f>IMDIV($V74,IMSUM(1,IMPRODUCT($V74,$M74)))</f>
        <v>-4.24823445558081-2.34943228215961j</v>
      </c>
      <c r="AD74" s="18">
        <f>IMABS($AC74)</f>
        <v>4.854619247483544</v>
      </c>
      <c r="AE74" s="16">
        <f>180/PI()*IMARGUMENT($AC74)</f>
        <v>-151.0557678516143</v>
      </c>
      <c r="AF74" s="33">
        <f t="shared" si="21"/>
        <v>2.427309623741772</v>
      </c>
      <c r="AG74" s="9" t="str">
        <f>IMPRODUCT($AC74,COMPLEX(0,$B74,"j"),COMPLEX($D$19,0,"j"))</f>
        <v>442.85755186436-800.773329382782j</v>
      </c>
      <c r="AH74" s="12">
        <f>IMABS(AG74)</f>
        <v>915.0741698321943</v>
      </c>
      <c r="AI74" s="35">
        <f>180/PI()*IMARGUMENT($AG74)</f>
        <v>-61.05576785161428</v>
      </c>
      <c r="AJ74" s="55" t="str">
        <f>IMDIV(COMPLEX(0,$B74,"j"),COMPLEX(1/$D$26,$B74,"j"))</f>
        <v>0.999999998911507+3.2992318183801E-005j</v>
      </c>
      <c r="AK74" s="35">
        <f>IMABS(AJ74)</f>
        <v>0.9999999994557535</v>
      </c>
      <c r="AL74" s="13">
        <f>180/PI()*IMARGUMENT($AJ74)</f>
        <v>0.0018903205896562527</v>
      </c>
      <c r="AM74" s="36" t="str">
        <f>IMPRODUCT(AG74,AJ74)</f>
        <v>442.883970750789-800.758717613885j</v>
      </c>
      <c r="AN74" s="35">
        <f>IMABS(AM74)</f>
        <v>915.074169334169</v>
      </c>
      <c r="AO74" s="57">
        <f>180/PI()*IMARGUMENT($AM74)</f>
        <v>-61.053877531024625</v>
      </c>
      <c r="AP74" s="204">
        <f t="shared" si="22"/>
        <v>14377420.939149458</v>
      </c>
      <c r="AQ74" s="137">
        <f t="shared" si="23"/>
        <v>998.4320096631568</v>
      </c>
      <c r="AR74" s="138">
        <f t="shared" si="24"/>
        <v>1312193.5613984617</v>
      </c>
      <c r="AS74" s="138">
        <f t="shared" si="25"/>
        <v>47097448053.942894</v>
      </c>
      <c r="AT74" s="139">
        <f t="shared" si="26"/>
        <v>1598.3734951313543</v>
      </c>
      <c r="AU74" s="106">
        <f>IF($D$40,IMDIV(COMPLEX($D$35,$B74,"j"),COMPLEX($D$34,$B74,"j")),1)</f>
        <v>1</v>
      </c>
      <c r="AV74" s="107">
        <f>IMABS(AU74)</f>
        <v>1</v>
      </c>
      <c r="AW74">
        <f t="shared" si="13"/>
        <v>3747.1284381058304</v>
      </c>
      <c r="AX74" s="355">
        <f t="shared" si="14"/>
        <v>0.005506677414277117</v>
      </c>
    </row>
    <row r="75" spans="1:50" ht="15" customHeight="1">
      <c r="A75" s="60">
        <v>70</v>
      </c>
      <c r="B75" s="124">
        <f t="shared" si="11"/>
        <v>439.822971502571</v>
      </c>
      <c r="H75" s="9" t="str">
        <f>IMDIV(COMPLEX(0,$D$14*$B75,"j"),COMPLEX(1,$B75*$D$20*$D$14,"j"))</f>
        <v>8.92417732304432E-004+1.05240584913389E-002j</v>
      </c>
      <c r="I75" s="10" t="str">
        <f>COMPLEX(1/$D$16,0,"j")</f>
        <v>1.72117039586919E-006</v>
      </c>
      <c r="J75" s="10" t="str">
        <f>IMPRODUCT(1/$D$17,IMDIV(COMPLEX(1/$D$15,0,"j"),COMPLEX(1/$D$15,$B75,"j")))</f>
        <v>7.47391763933846E-015-2.64290933457907E-010j</v>
      </c>
      <c r="K75" s="11" t="str">
        <f>IMSUM($H75,$I75,$J75)</f>
        <v>8.94138902707775E-004+1.0524058227048E-002j</v>
      </c>
      <c r="L75" s="116" t="str">
        <f>COMPLEX($D$18,0,"j")</f>
        <v>12.98</v>
      </c>
      <c r="M75" s="9" t="str">
        <f>IMPRODUCT($L75,$K75)</f>
        <v>1.16059229571469E-002+0.136602275787083j</v>
      </c>
      <c r="N75" s="11">
        <f>IMABS($M75)</f>
        <v>0.13709441709237294</v>
      </c>
      <c r="O75" s="18">
        <f t="shared" si="12"/>
        <v>7.2942430567847945</v>
      </c>
      <c r="P75" s="18">
        <f t="shared" si="17"/>
        <v>3.6471215283923972</v>
      </c>
      <c r="Q75" s="115">
        <f t="shared" si="18"/>
        <v>1604.0878280485426</v>
      </c>
      <c r="R75" s="9" t="str">
        <f>IMDIV(COMPLEX(1/$D$29,0,"j"),COMPLEX(1-$B75*$B75*$D$30*$D$30,$B75*2*$D$21*$D$30,"j"))</f>
        <v>-1.03394027086824E-005-1.47713289373492E-008j</v>
      </c>
      <c r="S75" s="11">
        <f>IMABS($R75)</f>
        <v>1.0339413260164598E-05</v>
      </c>
      <c r="T75" s="34" t="str">
        <f>IMPRODUCT(IMDIV($D$23,COMPLEX(1,$B75*$D$31,"j")),$AU75)</f>
        <v>371832.233099483-41212.1701308873j</v>
      </c>
      <c r="U75" s="21">
        <f>IMABS($T75)</f>
        <v>374109.14522187965</v>
      </c>
      <c r="V75" s="9" t="str">
        <f>IMPRODUCT($R75,$T75)</f>
        <v>-3.84513195660545+0.420616767257355j</v>
      </c>
      <c r="W75" s="58">
        <f>IMABS($V75)</f>
        <v>3.868069056855951</v>
      </c>
      <c r="X75" s="10">
        <f t="shared" si="19"/>
        <v>1.9340345284279754</v>
      </c>
      <c r="Y75" s="21">
        <f t="shared" si="20"/>
        <v>850.6328132817658</v>
      </c>
      <c r="Z75" s="10" t="str">
        <f>IMPRODUCT($M75,$V75)</f>
        <v>-0.102083512889987-0.520372130178671j</v>
      </c>
      <c r="AA75" s="18">
        <f>IMABS($Z75)</f>
        <v>0.5302906726227116</v>
      </c>
      <c r="AB75" s="13">
        <f>180/PI()*IMARGUMENT($Z75)</f>
        <v>-101.0989991145046</v>
      </c>
      <c r="AC75" s="9" t="str">
        <f>IMDIV($V75,IMSUM(1,IMPRODUCT($V75,$M75)))</f>
        <v>-3.40886190669287-1.5071111668401j</v>
      </c>
      <c r="AD75" s="18">
        <f>IMABS($AC75)</f>
        <v>3.727160255223255</v>
      </c>
      <c r="AE75" s="16">
        <f>180/PI()*IMARGUMENT($AC75)</f>
        <v>-156.14902870702537</v>
      </c>
      <c r="AF75" s="33">
        <f t="shared" si="21"/>
        <v>1.8635801276116275</v>
      </c>
      <c r="AG75" s="9" t="str">
        <f>IMPRODUCT($AC75,COMPLEX(0,$B75,"j"),COMPLEX($D$19,0,"j"))</f>
        <v>331.43105589216-749.647886621789j</v>
      </c>
      <c r="AH75" s="12">
        <f>IMABS(AG75)</f>
        <v>819.6453493592865</v>
      </c>
      <c r="AI75" s="35">
        <f>180/PI()*IMARGUMENT($AG75)</f>
        <v>-66.14902870702535</v>
      </c>
      <c r="AJ75" s="55" t="str">
        <f>IMDIV(COMPLEX(0,$B75,"j"),COMPLEX(1/$D$26,$B75,"j"))</f>
        <v>0.999999999200291+2.8279129879996E-005j</v>
      </c>
      <c r="AK75" s="35">
        <f>IMABS(AJ75)</f>
        <v>0.9999999996001456</v>
      </c>
      <c r="AL75" s="13">
        <f>180/PI()*IMARGUMENT($AJ75)</f>
        <v>0.0016202747912899011</v>
      </c>
      <c r="AM75" s="36" t="str">
        <f>IMPRODUCT(AG75,AJ75)</f>
        <v>331.452255017062-749.638513440413j</v>
      </c>
      <c r="AN75" s="35">
        <f>IMABS(AM75)</f>
        <v>819.6453490315478</v>
      </c>
      <c r="AO75" s="57">
        <f>180/PI()*IMARGUMENT($AM75)</f>
        <v>-66.14740843223403</v>
      </c>
      <c r="AP75" s="204">
        <f t="shared" si="22"/>
        <v>16773657.762341032</v>
      </c>
      <c r="AQ75" s="137">
        <f t="shared" si="23"/>
        <v>855.798865425563</v>
      </c>
      <c r="AR75" s="138">
        <f t="shared" si="24"/>
        <v>1530892.4882982054</v>
      </c>
      <c r="AS75" s="138">
        <f t="shared" si="25"/>
        <v>64104859851.200066</v>
      </c>
      <c r="AT75" s="139">
        <f t="shared" si="26"/>
        <v>1598.3734951313543</v>
      </c>
      <c r="AU75" s="106">
        <f>IF($D$40,IMDIV(COMPLEX($D$35,$B75,"j"),COMPLEX($D$34,$B75,"j")),1)</f>
        <v>1</v>
      </c>
      <c r="AV75" s="107">
        <f>IMABS(AU75)</f>
        <v>1</v>
      </c>
      <c r="AW75">
        <f t="shared" si="13"/>
        <v>3741.0914522187963</v>
      </c>
      <c r="AX75" s="355">
        <f t="shared" si="14"/>
        <v>0.004517895686229153</v>
      </c>
    </row>
    <row r="76" spans="1:50" ht="15" customHeight="1">
      <c r="A76" s="60">
        <v>80</v>
      </c>
      <c r="B76" s="124">
        <f t="shared" si="11"/>
        <v>502.6548245743669</v>
      </c>
      <c r="H76" s="9" t="str">
        <f>IMDIV(COMPLEX(0,$D$14*$B76,"j"),COMPLEX(1,$B76*$D$20*$D$14,"j"))</f>
        <v>1.16306494069908E-003+1.2001266496962E-002j</v>
      </c>
      <c r="I76" s="10" t="str">
        <f>COMPLEX(1/$D$16,0,"j")</f>
        <v>1.72117039586919E-006</v>
      </c>
      <c r="J76" s="10" t="str">
        <f>IMPRODUCT(1/$D$17,IMDIV(COMPLEX(1/$D$15,0,"j"),COMPLEX(1/$D$15,$B76,"j")))</f>
        <v>5.72221819369103E-015-2.31254566819012E-010j</v>
      </c>
      <c r="K76" s="11" t="str">
        <f>IMSUM($H76,$I76,$J76)</f>
        <v>1.16478611110067E-003+1.20012662657074E-002j</v>
      </c>
      <c r="L76" s="116" t="str">
        <f>COMPLEX($D$18,0,"j")</f>
        <v>12.98</v>
      </c>
      <c r="M76" s="9" t="str">
        <f>IMPRODUCT($L76,$K76)</f>
        <v>1.51189237220867E-002+0.155776436128882j</v>
      </c>
      <c r="N76" s="11">
        <f>IMABS($M76)</f>
        <v>0.15650840203493846</v>
      </c>
      <c r="O76" s="18">
        <f t="shared" si="12"/>
        <v>6.389433327526806</v>
      </c>
      <c r="P76" s="18">
        <f t="shared" si="17"/>
        <v>3.194716663763403</v>
      </c>
      <c r="Q76" s="115">
        <f t="shared" si="18"/>
        <v>1605.8397441888</v>
      </c>
      <c r="R76" s="9" t="str">
        <f>IMDIV(COMPLEX(1/$D$29,0,"j"),COMPLEX(1-$B76*$B76*$D$30*$D$30,$B76*2*$D$21*$D$30,"j"))</f>
        <v>-7.91601432211156E-006-9.89540444187546E-009j</v>
      </c>
      <c r="S76" s="11">
        <f>IMABS($R76)</f>
        <v>7.916020506978516E-06</v>
      </c>
      <c r="T76" s="34" t="str">
        <f>IMPRODUCT(IMDIV($D$23,COMPLEX(1,$B76*$D$31,"j")),$AU76)</f>
        <v>370456.018526793-46925.2992612859j</v>
      </c>
      <c r="U76" s="21">
        <f>IMABS($T76)</f>
        <v>373416.1825275986</v>
      </c>
      <c r="V76" s="9" t="str">
        <f>IMPRODUCT($R76,$T76)</f>
        <v>-2.93299949318527+0.367795528890461j</v>
      </c>
      <c r="W76" s="58">
        <f>IMABS($V76)</f>
        <v>2.955970158526108</v>
      </c>
      <c r="X76" s="10">
        <f t="shared" si="19"/>
        <v>1.477985079263054</v>
      </c>
      <c r="Y76" s="21">
        <f t="shared" si="20"/>
        <v>742.9163307405022</v>
      </c>
      <c r="Z76" s="10" t="str">
        <f>IMPRODUCT($M76,$V76)</f>
        <v>-0.10163767232908-0.451331535669599j</v>
      </c>
      <c r="AA76" s="18">
        <f>IMABS($Z76)</f>
        <v>0.46263416597388474</v>
      </c>
      <c r="AB76" s="13">
        <f>180/PI()*IMARGUMENT($Z76)</f>
        <v>-102.691025476054</v>
      </c>
      <c r="AC76" s="9" t="str">
        <f>IMDIV($V76,IMSUM(1,IMPRODUCT($V76,$M76)))</f>
        <v>-2.77109081643711-0.982771781026234j</v>
      </c>
      <c r="AD76" s="18">
        <f>IMABS($AC76)</f>
        <v>2.94020147039681</v>
      </c>
      <c r="AE76" s="16">
        <f>180/PI()*IMARGUMENT($AC76)</f>
        <v>-160.4728675323763</v>
      </c>
      <c r="AF76" s="33">
        <f t="shared" si="21"/>
        <v>1.470100735198405</v>
      </c>
      <c r="AG76" s="9" t="str">
        <f>IMPRODUCT($AC76,COMPLEX(0,$B76,"j"),COMPLEX($D$19,0,"j"))</f>
        <v>246.99748859419-696.451084107918j</v>
      </c>
      <c r="AH76" s="12">
        <f>IMABS(AG76)</f>
        <v>738.9532271578028</v>
      </c>
      <c r="AI76" s="35">
        <f>180/PI()*IMARGUMENT($AG76)</f>
        <v>-70.47286753237631</v>
      </c>
      <c r="AJ76" s="55" t="str">
        <f>IMDIV(COMPLEX(0,$B76,"j"),COMPLEX(1/$D$26,$B76,"j"))</f>
        <v>0.999999999387723+2.47442386496343E-005j</v>
      </c>
      <c r="AK76" s="35">
        <f>IMABS(AJ76)</f>
        <v>0.9999999996938617</v>
      </c>
      <c r="AL76" s="13">
        <f>180/PI()*IMARGUMENT($AJ76)</f>
        <v>0.0014177404424672367</v>
      </c>
      <c r="AM76" s="36" t="str">
        <f>IMPRODUCT(AG76,AJ76)</f>
        <v>247.014721594792-696.444971916693j</v>
      </c>
      <c r="AN76" s="35">
        <f>IMABS(AM76)</f>
        <v>738.9532269315805</v>
      </c>
      <c r="AO76" s="57">
        <f>180/PI()*IMARGUMENT($AM76)</f>
        <v>-70.47144979193384</v>
      </c>
      <c r="AP76" s="204">
        <f t="shared" si="22"/>
        <v>19169894.58553261</v>
      </c>
      <c r="AQ76" s="137">
        <f t="shared" si="23"/>
        <v>748.8240072473676</v>
      </c>
      <c r="AR76" s="138">
        <f t="shared" si="24"/>
        <v>1749591.4151979492</v>
      </c>
      <c r="AS76" s="138">
        <f t="shared" si="25"/>
        <v>83728796540.34297</v>
      </c>
      <c r="AT76" s="139">
        <f t="shared" si="26"/>
        <v>1598.3734951313543</v>
      </c>
      <c r="AU76" s="106">
        <f>IF($D$40,IMDIV(COMPLEX($D$35,$B76,"j"),COMPLEX($D$34,$B76,"j")),1)</f>
        <v>1</v>
      </c>
      <c r="AV76" s="107">
        <f>IMABS(AU76)</f>
        <v>1</v>
      </c>
      <c r="AW76">
        <f t="shared" si="13"/>
        <v>3734.161825275986</v>
      </c>
      <c r="AX76" s="355">
        <f t="shared" si="14"/>
        <v>0.003803025432903601</v>
      </c>
    </row>
    <row r="77" spans="1:50" ht="15" customHeight="1">
      <c r="A77" s="60">
        <v>90</v>
      </c>
      <c r="B77" s="124">
        <f t="shared" si="11"/>
        <v>565.4866776461628</v>
      </c>
      <c r="H77" s="9" t="str">
        <f>IMDIV(COMPLEX(0,$D$14*$B77,"j"),COMPLEX(1,$B77*$D$20*$D$14,"j"))</f>
        <v>1.46837495777675E-003+1.34681381306203E-002j</v>
      </c>
      <c r="I77" s="10" t="str">
        <f>COMPLEX(1/$D$16,0,"j")</f>
        <v>1.72117039586919E-006</v>
      </c>
      <c r="J77" s="10" t="str">
        <f>IMPRODUCT(1/$D$17,IMDIV(COMPLEX(1/$D$15,0,"j"),COMPLEX(1/$D$15,$B77,"j")))</f>
        <v>4.52125882028749E-015-2.05559614976648E-010j</v>
      </c>
      <c r="K77" s="11" t="str">
        <f>IMSUM($H77,$I77,$J77)</f>
        <v>1.47009612817714E-003+1.34681379250607E-002j</v>
      </c>
      <c r="L77" s="116" t="str">
        <f>COMPLEX($D$18,0,"j")</f>
        <v>12.98</v>
      </c>
      <c r="M77" s="9" t="str">
        <f>IMPRODUCT($L77,$K77)</f>
        <v>1.90818477437393E-002+0.174816430267288j</v>
      </c>
      <c r="N77" s="11">
        <f>IMABS($M77)</f>
        <v>0.17585477305069888</v>
      </c>
      <c r="O77" s="18">
        <f t="shared" si="12"/>
        <v>5.686510423642014</v>
      </c>
      <c r="P77" s="18">
        <f aca="true" t="shared" si="27" ref="P77:P88">$O77*$D$19</f>
        <v>2.843255211821007</v>
      </c>
      <c r="Q77" s="115">
        <f aca="true" t="shared" si="28" ref="Q77:Q88">+$O77*$D$19*$B77</f>
        <v>1607.8229434327982</v>
      </c>
      <c r="R77" s="9" t="str">
        <f>IMDIV(COMPLEX(1/$D$29,0,"j"),COMPLEX(1-$B77*$B77*$D$30*$D$30,$B77*2*$D$21*$D$30,"j"))</f>
        <v>-6.25457937262814E-006-6.94974713462184E-009j</v>
      </c>
      <c r="S77" s="11">
        <f>IMABS($R77)</f>
        <v>6.254583233716748E-06</v>
      </c>
      <c r="T77" s="34" t="str">
        <f>IMPRODUCT(IMDIV($D$23,COMPLEX(1,$B77*$D$31,"j")),$AU77)</f>
        <v>368908.57244059-52570.4465121237j</v>
      </c>
      <c r="U77" s="21">
        <f>IMABS($T77)</f>
        <v>372635.4608281908</v>
      </c>
      <c r="V77" s="9" t="str">
        <f>IMPRODUCT($R77,$T77)</f>
        <v>-2.30773329888262+0.326242209070323j</v>
      </c>
      <c r="W77" s="58">
        <f>IMABS($V77)</f>
        <v>2.3306795055843144</v>
      </c>
      <c r="X77" s="10">
        <f aca="true" t="shared" si="29" ref="X77:X88">$W77*$D$19</f>
        <v>1.1653397527921572</v>
      </c>
      <c r="Y77" s="21">
        <f aca="true" t="shared" si="30" ref="Y77:Y88">$W77*$D$19*$B77</f>
        <v>658.9841051354376</v>
      </c>
      <c r="Z77" s="10" t="str">
        <f>IMPRODUCT($M77,$V77)</f>
        <v>-0.101068313834623-0.397204393158551j</v>
      </c>
      <c r="AA77" s="18">
        <f>IMABS($Z77)</f>
        <v>0.40986111550844456</v>
      </c>
      <c r="AB77" s="13">
        <f>180/PI()*IMARGUMENT($Z77)</f>
        <v>-104.27591267271566</v>
      </c>
      <c r="AC77" s="9" t="str">
        <f>IMDIV($V77,IMSUM(1,IMPRODUCT($V77,$M77)))</f>
        <v>-2.28201123446342-0.6454135363396j</v>
      </c>
      <c r="AD77" s="18">
        <f>IMABS($AC77)</f>
        <v>2.3715256496836905</v>
      </c>
      <c r="AE77" s="16">
        <f>180/PI()*IMARGUMENT($AC77)</f>
        <v>-164.20768440646074</v>
      </c>
      <c r="AF77" s="33">
        <f aca="true" t="shared" si="31" ref="AF77:AF88">$AD77*$D$19</f>
        <v>1.1857628248418453</v>
      </c>
      <c r="AG77" s="9" t="str">
        <f>IMPRODUCT($AC77,COMPLEX(0,$B77,"j"),COMPLEX($D$19,0,"j"))</f>
        <v>182.486378186271-645.223475663969j</v>
      </c>
      <c r="AH77" s="12">
        <f>IMABS(AG77)</f>
        <v>670.533080296144</v>
      </c>
      <c r="AI77" s="35">
        <f>180/PI()*IMARGUMENT($AG77)</f>
        <v>-74.20768440646071</v>
      </c>
      <c r="AJ77" s="55" t="str">
        <f>IMDIV(COMPLEX(0,$B77,"j"),COMPLEX(1/$D$26,$B77,"j"))</f>
        <v>0.999999999516225+2.19948788025013E-005j</v>
      </c>
      <c r="AK77" s="35">
        <f>IMABS(AJ77)</f>
        <v>0.9999999997581124</v>
      </c>
      <c r="AL77" s="13">
        <f>180/PI()*IMARGUMENT($AJ77)</f>
        <v>0.0012602137266915228</v>
      </c>
      <c r="AM77" s="36" t="str">
        <f>IMPRODUCT(AG77,AJ77)</f>
        <v>182.500569710136-645.219461586055j</v>
      </c>
      <c r="AN77" s="35">
        <f>IMABS(AM77)</f>
        <v>670.5330801339505</v>
      </c>
      <c r="AO77" s="57">
        <f>180/PI()*IMARGUMENT($AM77)</f>
        <v>-74.20642419273405</v>
      </c>
      <c r="AP77" s="204">
        <f aca="true" t="shared" si="32" ref="AP77:AP88">$B77*$D$19*$D$23/$D$29*D$35/D$34</f>
        <v>21566131.408724185</v>
      </c>
      <c r="AQ77" s="137">
        <f aca="true" t="shared" si="33" ref="AQ77:AQ88">$D$23/$B77</f>
        <v>665.6213397754378</v>
      </c>
      <c r="AR77" s="138">
        <f aca="true" t="shared" si="34" ref="AR77:AR88">$B77*$D$19/($D$18*(1/$D$16+1/$D$17))</f>
        <v>1968290.3420976927</v>
      </c>
      <c r="AS77" s="138">
        <f aca="true" t="shared" si="35" ref="AS77:AS88">$B77*$B77*$D$19*$D$17*$D$15/$D$18</f>
        <v>105969258121.37155</v>
      </c>
      <c r="AT77" s="139">
        <f aca="true" t="shared" si="36" ref="AT77:AT88">$D$19/($D$14*$D$18)</f>
        <v>1598.3734951313543</v>
      </c>
      <c r="AU77" s="106">
        <f>IF($D$40,IMDIV(COMPLEX($D$35,$B77,"j"),COMPLEX($D$34,$B77,"j")),1)</f>
        <v>1</v>
      </c>
      <c r="AV77" s="107">
        <f>IMABS(AU77)</f>
        <v>1</v>
      </c>
      <c r="AW77">
        <f t="shared" si="13"/>
        <v>3726.354608281908</v>
      </c>
      <c r="AX77" s="355">
        <f t="shared" si="14"/>
        <v>0.003265194925726521</v>
      </c>
    </row>
    <row r="78" spans="1:50" ht="15" customHeight="1">
      <c r="A78" s="60">
        <v>100</v>
      </c>
      <c r="B78" s="124">
        <f aca="true" t="shared" si="37" ref="B78:B88">2*PI()*A78</f>
        <v>628.3185307179587</v>
      </c>
      <c r="H78" s="9" t="str">
        <f>IMDIV(COMPLEX(0,$D$14*$B78,"j"),COMPLEX(1,$B78*$D$20*$D$14,"j"))</f>
        <v>1.80782717799924E-003+1.49234767445255E-002j</v>
      </c>
      <c r="I78" s="10" t="str">
        <f>COMPLEX(1/$D$16,0,"j")</f>
        <v>1.72117039586919E-006</v>
      </c>
      <c r="J78" s="10" t="str">
        <f>IMPRODUCT(1/$D$17,IMDIV(COMPLEX(1/$D$15,0,"j"),COMPLEX(1/$D$15,$B78,"j")))</f>
        <v>3.66221964476949E-015-1.85003653495988E-010j</v>
      </c>
      <c r="K78" s="11" t="str">
        <f>IMSUM($H78,$I78,$J78)</f>
        <v>1.80954834839877E-003+1.49234765595218E-002j</v>
      </c>
      <c r="L78" s="116" t="str">
        <f>COMPLEX($D$18,0,"j")</f>
        <v>12.98</v>
      </c>
      <c r="M78" s="9" t="str">
        <f>IMPRODUCT($L78,$K78)</f>
        <v>2.3487937562216E-002+0.193706725742593j</v>
      </c>
      <c r="N78" s="11">
        <f>IMABS($M78)</f>
        <v>0.1951255462742967</v>
      </c>
      <c r="O78" s="18">
        <f t="shared" si="12"/>
        <v>5.124905575378917</v>
      </c>
      <c r="P78" s="18">
        <f t="shared" si="27"/>
        <v>2.5624527876894585</v>
      </c>
      <c r="Q78" s="115">
        <f t="shared" si="28"/>
        <v>1610.0365705951779</v>
      </c>
      <c r="R78" s="9" t="str">
        <f>IMDIV(COMPLEX(1/$D$29,0,"j"),COMPLEX(1-$B78*$B78*$D$30*$D$30,$B78*2*$D$21*$D$30,"j"))</f>
        <v>-5.06618077032873E-006-5.06630742801443E-009j</v>
      </c>
      <c r="S78" s="11">
        <f>IMABS($R78)</f>
        <v>5.066183303545142E-06</v>
      </c>
      <c r="T78" s="34" t="str">
        <f>IMPRODUCT(IMDIV($D$23,COMPLEX(1,$B78*$D$31,"j")),$AU78)</f>
        <v>367194.301416969-58140.175956488j</v>
      </c>
      <c r="U78" s="21">
        <f>IMABS($T78)</f>
        <v>371768.65797609574</v>
      </c>
      <c r="V78" s="9" t="str">
        <f>IMPRODUCT($R78,$T78)</f>
        <v>-1.86056726481825+0.292688322197495j</v>
      </c>
      <c r="W78" s="58">
        <f>IMABS($V78)</f>
        <v>1.8834481678198765</v>
      </c>
      <c r="X78" s="10">
        <f t="shared" si="29"/>
        <v>0.9417240839099382</v>
      </c>
      <c r="Y78" s="21">
        <f t="shared" si="30"/>
        <v>591.702692744008</v>
      </c>
      <c r="Z78" s="10" t="str">
        <f>IMPRODUCT($M78,$V78)</f>
        <v>-0.100396584302324-0.353529747854831j</v>
      </c>
      <c r="AA78" s="18">
        <f>IMABS($Z78)</f>
        <v>0.3675088526251769</v>
      </c>
      <c r="AB78" s="13">
        <f>180/PI()*IMARGUMENT($Z78)</f>
        <v>-105.85366698146328</v>
      </c>
      <c r="AC78" s="9" t="str">
        <f>IMDIV($V78,IMSUM(1,IMPRODUCT($V78,$M78)))</f>
        <v>-1.90228464872265-0.422214815312779j</v>
      </c>
      <c r="AD78" s="18">
        <f>IMABS($AC78)</f>
        <v>1.9485769769335417</v>
      </c>
      <c r="AE78" s="16">
        <f>180/PI()*IMARGUMENT($AC78)</f>
        <v>-167.48597776488387</v>
      </c>
      <c r="AF78" s="33">
        <f t="shared" si="31"/>
        <v>0.9742884884667709</v>
      </c>
      <c r="AG78" s="9" t="str">
        <f>IMPRODUCT($AC78,COMPLEX(0,$B78,"j"),COMPLEX($D$19,0,"j"))</f>
        <v>132.64269620234-597.620347746372j</v>
      </c>
      <c r="AH78" s="12">
        <f>IMABS(AG78)</f>
        <v>612.1635115688625</v>
      </c>
      <c r="AI78" s="35">
        <f>180/PI()*IMARGUMENT($AG78)</f>
        <v>-77.48597776488384</v>
      </c>
      <c r="AJ78" s="55" t="str">
        <f>IMDIV(COMPLEX(0,$B78,"j"),COMPLEX(1/$D$26,$B78,"j"))</f>
        <v>0.999999999608142+1.97953909240707E-005j</v>
      </c>
      <c r="AK78" s="35">
        <f>IMABS(AJ78)</f>
        <v>0.9999999998040706</v>
      </c>
      <c r="AL78" s="13">
        <f>180/PI()*IMARGUMENT($AJ78)</f>
        <v>0.0011341923540571209</v>
      </c>
      <c r="AM78" s="36" t="str">
        <f>IMPRODUCT(AG78,AJ78)</f>
        <v>132.654526278771-597.617721798165j</v>
      </c>
      <c r="AN78" s="35">
        <f>IMABS(AM78)</f>
        <v>612.1635114489217</v>
      </c>
      <c r="AO78" s="57">
        <f>180/PI()*IMARGUMENT($AM78)</f>
        <v>-77.48484357252975</v>
      </c>
      <c r="AP78" s="204">
        <f t="shared" si="32"/>
        <v>23962368.23191576</v>
      </c>
      <c r="AQ78" s="137">
        <f t="shared" si="33"/>
        <v>599.059205797894</v>
      </c>
      <c r="AR78" s="138">
        <f t="shared" si="34"/>
        <v>2186989.2689974364</v>
      </c>
      <c r="AS78" s="138">
        <f t="shared" si="35"/>
        <v>130826244594.28589</v>
      </c>
      <c r="AT78" s="139">
        <f t="shared" si="36"/>
        <v>1598.3734951313543</v>
      </c>
      <c r="AU78" s="106">
        <f>IF($D$40,IMDIV(COMPLEX($D$35,$B78,"j"),COMPLEX($D$34,$B78,"j")),1)</f>
        <v>1</v>
      </c>
      <c r="AV78" s="107">
        <f>IMABS(AU78)</f>
        <v>1</v>
      </c>
      <c r="AW78">
        <f aca="true" t="shared" si="38" ref="AW78:AW88">U78/100</f>
        <v>3717.6865797609576</v>
      </c>
      <c r="AX78" s="355">
        <f t="shared" si="14"/>
        <v>0.0028476117287532265</v>
      </c>
    </row>
    <row r="79" spans="1:50" ht="15" customHeight="1">
      <c r="A79" s="60">
        <v>150</v>
      </c>
      <c r="B79" s="124">
        <f t="shared" si="37"/>
        <v>942.4777960769379</v>
      </c>
      <c r="H79" s="9" t="str">
        <f>IMDIV(COMPLEX(0,$D$14*$B79,"j"),COMPLEX(1,$B79*$D$20*$D$14,"j"))</f>
        <v>3.99538155684882E-003+2.19877152251273E-002j</v>
      </c>
      <c r="I79" s="10" t="str">
        <f>COMPLEX(1/$D$16,0,"j")</f>
        <v>1.72117039586919E-006</v>
      </c>
      <c r="J79" s="10" t="str">
        <f>IMPRODUCT(1/$D$17,IMDIV(COMPLEX(1/$D$15,0,"j"),COMPLEX(1/$D$15,$B79,"j")))</f>
        <v>1.62765317580744E-015-1.23335769024176E-010j</v>
      </c>
      <c r="K79" s="11" t="str">
        <f>IMSUM($H79,$I79,$J79)</f>
        <v>3.99710272724632E-003+2.19877151017915E-002j</v>
      </c>
      <c r="L79" s="116" t="str">
        <f>COMPLEX($D$18,0,"j")</f>
        <v>12.98</v>
      </c>
      <c r="M79" s="9" t="str">
        <f>IMPRODUCT($L79,$K79)</f>
        <v>5.18823933996572E-002+0.285400542021254j</v>
      </c>
      <c r="N79" s="11">
        <f>IMABS($M79)</f>
        <v>0.29007801042289016</v>
      </c>
      <c r="O79" s="18">
        <f aca="true" t="shared" si="39" ref="O79:O88">1/$N79</f>
        <v>3.4473485202899394</v>
      </c>
      <c r="P79" s="18">
        <f t="shared" si="27"/>
        <v>1.7236742601449697</v>
      </c>
      <c r="Q79" s="115">
        <f t="shared" si="28"/>
        <v>1624.5247178559775</v>
      </c>
      <c r="R79" s="9" t="str">
        <f>IMDIV(COMPLEX(1/$D$29,0,"j"),COMPLEX(1-$B79*$B79*$D$30*$D$30,$B79*2*$D$21*$D$30,"j"))</f>
        <v>-2.25160587583685E-006-1.50108726263859E-009j</v>
      </c>
      <c r="S79" s="11">
        <f>IMABS($R79)</f>
        <v>2.2516063762047745E-06</v>
      </c>
      <c r="T79" s="34" t="str">
        <f>IMPRODUCT(IMDIV($D$23,COMPLEX(1,$B79*$D$31,"j")),$AU79)</f>
        <v>356301.616487277-84623.2032858859j</v>
      </c>
      <c r="U79" s="21">
        <f>IMABS($T79)</f>
        <v>366212.95504912303</v>
      </c>
      <c r="V79" s="9" t="str">
        <f>IMPRODUCT($R79,$T79)</f>
        <v>-0.802377840065497+0.19000326193247j</v>
      </c>
      <c r="W79" s="58">
        <f>IMABS($V79)</f>
        <v>0.824567424637398</v>
      </c>
      <c r="X79" s="10">
        <f t="shared" si="29"/>
        <v>0.412283712318699</v>
      </c>
      <c r="Y79" s="21">
        <f t="shared" si="30"/>
        <v>388.56824454454573</v>
      </c>
      <c r="Z79" s="10" t="str">
        <f>IMPRODUCT($M79,$V79)</f>
        <v>-9.58563166947786E-002-0.219141246477737j</v>
      </c>
      <c r="AA79" s="18">
        <f>IMABS($Z79)</f>
        <v>0.2391888779983425</v>
      </c>
      <c r="AB79" s="13">
        <f>180/PI()*IMARGUMENT($Z79)</f>
        <v>-113.62543217174894</v>
      </c>
      <c r="AC79" s="9" t="str">
        <f>IMDIV($V79,IMSUM(1,IMPRODUCT($V79,$M79)))</f>
        <v>-0.886312619314479-4.67225542914823E-003j</v>
      </c>
      <c r="AD79" s="18">
        <f>IMABS($AC79)</f>
        <v>0.886324934280249</v>
      </c>
      <c r="AE79" s="16">
        <f>180/PI()*IMARGUMENT($AC79)</f>
        <v>-179.697964317151</v>
      </c>
      <c r="AF79" s="33">
        <f t="shared" si="31"/>
        <v>0.4431624671401245</v>
      </c>
      <c r="AG79" s="9" t="str">
        <f>IMPRODUCT($AC79,COMPLEX(0,$B79,"j"),COMPLEX($D$19,0,"j"))</f>
        <v>2.20174849978607-417.664982043344j</v>
      </c>
      <c r="AH79" s="12">
        <f>IMABS(AG79)</f>
        <v>417.67078533424285</v>
      </c>
      <c r="AI79" s="35">
        <f>180/PI()*IMARGUMENT($AG79)</f>
        <v>-89.69796431715096</v>
      </c>
      <c r="AJ79" s="55" t="str">
        <f>IMDIV(COMPLEX(0,$B79,"j"),COMPLEX(1/$D$26,$B79,"j"))</f>
        <v>0.999999999825841+1.31969272855868E-005j</v>
      </c>
      <c r="AK79" s="35">
        <f>IMABS(AJ79)</f>
        <v>0.9999999999129204</v>
      </c>
      <c r="AL79" s="13">
        <f>180/PI()*IMARGUMENT($AJ79)</f>
        <v>0.0007561282360929524</v>
      </c>
      <c r="AM79" s="36" t="str">
        <f>IMPRODUCT(AG79,AJ79)</f>
        <v>2.20726039380038-417.664952914289j</v>
      </c>
      <c r="AN79" s="35">
        <f>IMABS(AM79)</f>
        <v>417.67078529787227</v>
      </c>
      <c r="AO79" s="57">
        <f>180/PI()*IMARGUMENT($AM79)</f>
        <v>-89.69720818891489</v>
      </c>
      <c r="AP79" s="204">
        <f t="shared" si="32"/>
        <v>35943552.34787364</v>
      </c>
      <c r="AQ79" s="137">
        <f t="shared" si="33"/>
        <v>399.3728038652627</v>
      </c>
      <c r="AR79" s="138">
        <f t="shared" si="34"/>
        <v>3280483.9034961546</v>
      </c>
      <c r="AS79" s="138">
        <f t="shared" si="35"/>
        <v>294359050337.1432</v>
      </c>
      <c r="AT79" s="139">
        <f t="shared" si="36"/>
        <v>1598.3734951313543</v>
      </c>
      <c r="AU79" s="106">
        <f>IF($D$40,IMDIV(COMPLEX($D$35,$B79,"j"),COMPLEX($D$34,$B79,"j")),1)</f>
        <v>1</v>
      </c>
      <c r="AV79" s="107">
        <f>IMABS(AU79)</f>
        <v>1</v>
      </c>
      <c r="AW79">
        <f t="shared" si="38"/>
        <v>3662.1295504912305</v>
      </c>
      <c r="AX79" s="355">
        <f aca="true" t="shared" si="40" ref="AX79:AX89">(AI79/360+0.5)/A79</f>
        <v>0.0016722599200527598</v>
      </c>
    </row>
    <row r="80" spans="1:50" ht="15" customHeight="1">
      <c r="A80" s="60">
        <v>200</v>
      </c>
      <c r="B80" s="124">
        <f t="shared" si="37"/>
        <v>1256.6370614359173</v>
      </c>
      <c r="H80" s="9" t="str">
        <f>IMDIV(COMPLEX(0,$D$14*$B80,"j"),COMPLEX(1,$B80*$D$20*$D$14,"j"))</f>
        <v>6.93060466081789E-003+2.86058088792763E-002j</v>
      </c>
      <c r="I80" s="10" t="str">
        <f>COMPLEX(1/$D$16,0,"j")</f>
        <v>1.72117039586919E-006</v>
      </c>
      <c r="J80" s="10" t="str">
        <f>IMPRODUCT(1/$D$17,IMDIV(COMPLEX(1/$D$15,0,"j"),COMPLEX(1/$D$15,$B80,"j")))</f>
        <v>9.15554911461443E-016-9.25018267751796E-011j</v>
      </c>
      <c r="K80" s="11" t="str">
        <f>IMSUM($H80,$I80,$J80)</f>
        <v>6.93232583121467E-003+2.86058087867745E-002j</v>
      </c>
      <c r="L80" s="116" t="str">
        <f>COMPLEX($D$18,0,"j")</f>
        <v>12.98</v>
      </c>
      <c r="M80" s="9" t="str">
        <f>IMPRODUCT($L80,$K80)</f>
        <v>8.99815892891664E-002+0.371303398052333j</v>
      </c>
      <c r="N80" s="11">
        <f>IMABS($M80)</f>
        <v>0.3820509125970169</v>
      </c>
      <c r="O80" s="18">
        <f t="shared" si="39"/>
        <v>2.617452195578941</v>
      </c>
      <c r="P80" s="18">
        <f t="shared" si="27"/>
        <v>1.3087260977894706</v>
      </c>
      <c r="Q80" s="115">
        <f t="shared" si="28"/>
        <v>1644.5937177506553</v>
      </c>
      <c r="R80" s="9" t="str">
        <f>IMDIV(COMPLEX(1/$D$29,0,"j"),COMPLEX(1-$B80*$B80*$D$30*$D$30,$B80*2*$D$21*$D$30,"j"))</f>
        <v>-1.26652239466161E-006-6.33265155238027E-010j</v>
      </c>
      <c r="S80" s="11">
        <f>IMABS($R80)</f>
        <v>1.2665225529788784E-06</v>
      </c>
      <c r="T80" s="34" t="str">
        <f>IMPRODUCT(IMDIV($D$23,COMPLEX(1,$B80*$D$31,"j")),$AU80)</f>
        <v>342094.273998694-108331.862489366j</v>
      </c>
      <c r="U80" s="21">
        <f>IMABS($T80)</f>
        <v>358837.4070984078</v>
      </c>
      <c r="V80" s="9" t="str">
        <f>IMPRODUCT($R80,$T80)</f>
        <v>-0.433338661898567+0.136988093514654j</v>
      </c>
      <c r="W80" s="58">
        <f>IMABS($V80)</f>
        <v>0.454475668942596</v>
      </c>
      <c r="X80" s="10">
        <f t="shared" si="29"/>
        <v>0.227237834471298</v>
      </c>
      <c r="Y80" s="21">
        <f t="shared" si="30"/>
        <v>285.5554845570733</v>
      </c>
      <c r="Z80" s="10" t="str">
        <f>IMPRODUCT($M80,$V80)</f>
        <v>-8.98566461127756E-002-0.148573711302247j</v>
      </c>
      <c r="AA80" s="18">
        <f>IMABS($Z80)</f>
        <v>0.1736328440726582</v>
      </c>
      <c r="AB80" s="13">
        <f>180/PI()*IMARGUMENT($Z80)</f>
        <v>-121.16534138249374</v>
      </c>
      <c r="AC80" s="9" t="str">
        <f>IMDIV($V80,IMSUM(1,IMPRODUCT($V80,$M80)))</f>
        <v>-0.487695235143512+7.09002622162269E-002j</v>
      </c>
      <c r="AD80" s="18">
        <f>IMABS($AC80)</f>
        <v>0.49282196538305306</v>
      </c>
      <c r="AE80" s="16">
        <f>180/PI()*IMARGUMENT($AC80)</f>
        <v>171.72839008235314</v>
      </c>
      <c r="AF80" s="33">
        <f t="shared" si="31"/>
        <v>0.24641098269152653</v>
      </c>
      <c r="AG80" s="9" t="str">
        <f>IMPRODUCT($AC80,COMPLEX(0,$B80,"j"),COMPLEX($D$19,0,"j"))</f>
        <v>-44.5479485832178-306.427953583521j</v>
      </c>
      <c r="AH80" s="12">
        <f>IMABS(AG80)</f>
        <v>309.6491731950168</v>
      </c>
      <c r="AI80" s="35">
        <f>180/PI()*IMARGUMENT($AG80)</f>
        <v>-98.27160991764688</v>
      </c>
      <c r="AJ80" s="55" t="str">
        <f>IMDIV(COMPLEX(0,$B80,"j"),COMPLEX(1/$D$26,$B80,"j"))</f>
        <v>0.999999999902036+9.89769546494422E-006j</v>
      </c>
      <c r="AK80" s="35">
        <f>IMABS(AJ80)</f>
        <v>0.9999999999510182</v>
      </c>
      <c r="AL80" s="13">
        <f>180/PI()*IMARGUMENT($AJ80)</f>
        <v>0.0005670961770841154</v>
      </c>
      <c r="AM80" s="36" t="str">
        <f>IMPRODUCT(AG80,AJ80)</f>
        <v>-44.5449156482872-306.428394475531j</v>
      </c>
      <c r="AN80" s="35">
        <f>IMABS(AM80)</f>
        <v>309.64917317984987</v>
      </c>
      <c r="AO80" s="57">
        <f>180/PI()*IMARGUMENT($AM80)</f>
        <v>-98.2710428214698</v>
      </c>
      <c r="AP80" s="204">
        <f t="shared" si="32"/>
        <v>47924736.46383152</v>
      </c>
      <c r="AQ80" s="137">
        <f t="shared" si="33"/>
        <v>299.529602898947</v>
      </c>
      <c r="AR80" s="138">
        <f t="shared" si="34"/>
        <v>4373978.537994873</v>
      </c>
      <c r="AS80" s="138">
        <f t="shared" si="35"/>
        <v>523304978377.14355</v>
      </c>
      <c r="AT80" s="202">
        <f t="shared" si="36"/>
        <v>1598.3734951313543</v>
      </c>
      <c r="AU80" s="106">
        <f>IF($D$40,IMDIV(COMPLEX($D$35,$B80,"j"),COMPLEX($D$34,$B80,"j")),1)</f>
        <v>1</v>
      </c>
      <c r="AV80" s="107">
        <f>IMABS(AU80)</f>
        <v>1</v>
      </c>
      <c r="AW80">
        <f t="shared" si="38"/>
        <v>3588.374070984078</v>
      </c>
      <c r="AX80" s="355">
        <f t="shared" si="40"/>
        <v>0.001135116528921571</v>
      </c>
    </row>
    <row r="81" spans="1:50" ht="15" customHeight="1">
      <c r="A81" s="60">
        <v>300</v>
      </c>
      <c r="B81" s="124">
        <f t="shared" si="37"/>
        <v>1884.9555921538758</v>
      </c>
      <c r="H81" s="9" t="str">
        <f>IMDIV(COMPLEX(0,$D$14*$B81,"j"),COMPLEX(1,$B81*$D$20*$D$14,"j"))</f>
        <v>1.45831593642472E-002+4.012762618805E-002j</v>
      </c>
      <c r="I81" s="10" t="str">
        <f>COMPLEX(1/$D$16,0,"j")</f>
        <v>1.72117039586919E-006</v>
      </c>
      <c r="J81" s="10" t="str">
        <f>IMPRODUCT(1/$D$17,IMDIV(COMPLEX(1/$D$15,0,"j"),COMPLEX(1/$D$15,$B81,"j")))</f>
        <v>4.06913294005009E-016-6.16678845201427E-011j</v>
      </c>
      <c r="K81" s="11" t="str">
        <f>IMSUM($H81,$I81,$J81)</f>
        <v>1.45848805346435E-002+4.01276261263821E-002j</v>
      </c>
      <c r="L81" s="116" t="str">
        <f>COMPLEX($D$18,0,"j")</f>
        <v>12.98</v>
      </c>
      <c r="M81" s="9" t="str">
        <f>IMPRODUCT($L81,$K81)</f>
        <v>0.189311749339673+0.52085658712044j</v>
      </c>
      <c r="N81" s="11">
        <f>IMABS($M81)</f>
        <v>0.5541935788014868</v>
      </c>
      <c r="O81" s="18">
        <f t="shared" si="39"/>
        <v>1.8044236495172419</v>
      </c>
      <c r="P81" s="18">
        <f t="shared" si="27"/>
        <v>0.9022118247586209</v>
      </c>
      <c r="Q81" s="115">
        <f t="shared" si="28"/>
        <v>1700.629224386115</v>
      </c>
      <c r="R81" s="9" t="str">
        <f>IMDIV(COMPLEX(1/$D$29,0,"j"),COMPLEX(1-$B81*$B81*$D$30*$D$30,$B81*2*$D$21*$D$30,"j"))</f>
        <v>-5.62896965738057E-007-1.87632843115028E-010j</v>
      </c>
      <c r="S81" s="11">
        <f>IMABS($R81)</f>
        <v>5.628969970102836E-07</v>
      </c>
      <c r="T81" s="34" t="str">
        <f>IMPRODUCT(IMDIV($D$23,COMPLEX(1,$B81*$D$31,"j")),$AU81)</f>
        <v>307106.521060598-145878.302873544j</v>
      </c>
      <c r="U81" s="21">
        <f>IMABS($T81)</f>
        <v>339992.49186887784</v>
      </c>
      <c r="V81" s="9" t="str">
        <f>IMPRODUCT($R81,$T81)</f>
        <v>-0.172896700424098+8.20568307848494E-002j</v>
      </c>
      <c r="W81" s="58">
        <f>IMABS($V81)</f>
        <v>0.19138075267903432</v>
      </c>
      <c r="X81" s="10">
        <f t="shared" si="29"/>
        <v>0.09569037633951716</v>
      </c>
      <c r="Y81" s="21">
        <f t="shared" si="30"/>
        <v>180.37210999648178</v>
      </c>
      <c r="Z81" s="10" t="str">
        <f>IMPRODUCT($M81,$V81)</f>
        <v>-7.54712176448595E-002-7.45200631261314E-002j</v>
      </c>
      <c r="AA81" s="18">
        <f>IMABS($Z81)</f>
        <v>0.10606198424091623</v>
      </c>
      <c r="AB81" s="13">
        <f>180/PI()*IMARGUMENT($Z81)</f>
        <v>-135.3633305137569</v>
      </c>
      <c r="AC81" s="9" t="str">
        <f>IMDIV($V81,IMSUM(1,IMPRODUCT($V81,$M81)))</f>
        <v>-0.192911265656012+7.32060184411037E-002j</v>
      </c>
      <c r="AD81" s="18">
        <f>IMABS($AC81)</f>
        <v>0.20633438286675257</v>
      </c>
      <c r="AE81" s="16">
        <f>180/PI()*IMARGUMENT($AC81)</f>
        <v>159.21923458330775</v>
      </c>
      <c r="AF81" s="33">
        <f t="shared" si="31"/>
        <v>0.10316719143337628</v>
      </c>
      <c r="AG81" s="9" t="str">
        <f>IMPRODUCT($AC81,COMPLEX(0,$B81,"j"),COMPLEX($D$19,0,"j"))</f>
        <v>-68.9950469199392-181.814584493891j</v>
      </c>
      <c r="AH81" s="12">
        <f>IMABS(AG81)</f>
        <v>194.46557441915226</v>
      </c>
      <c r="AI81" s="35">
        <f>180/PI()*IMARGUMENT($AG81)</f>
        <v>-110.78076541669229</v>
      </c>
      <c r="AJ81" s="55" t="str">
        <f>IMDIV(COMPLEX(0,$B81,"j"),COMPLEX(1/$D$26,$B81,"j"))</f>
        <v>0.99999999995646+6.59846364365527E-006j</v>
      </c>
      <c r="AK81" s="35">
        <f>IMABS(AJ81)</f>
        <v>0.9999999999782297</v>
      </c>
      <c r="AL81" s="13">
        <f>180/PI()*IMARGUMENT($AJ81)</f>
        <v>0.0003780641180629361</v>
      </c>
      <c r="AM81" s="36" t="str">
        <f>IMPRODUCT(AG81,AJ81)</f>
        <v>-68.9938472200095-181.815039747284j</v>
      </c>
      <c r="AN81" s="35">
        <f>IMABS(AM81)</f>
        <v>194.4655744149192</v>
      </c>
      <c r="AO81" s="57">
        <f>180/PI()*IMARGUMENT($AM81)</f>
        <v>-110.78038735257418</v>
      </c>
      <c r="AP81" s="204">
        <f t="shared" si="32"/>
        <v>71887104.69574729</v>
      </c>
      <c r="AQ81" s="137">
        <f t="shared" si="33"/>
        <v>199.68640193263136</v>
      </c>
      <c r="AR81" s="138">
        <f t="shared" si="34"/>
        <v>6560967.806992309</v>
      </c>
      <c r="AS81" s="138">
        <f t="shared" si="35"/>
        <v>1177436201348.5728</v>
      </c>
      <c r="AT81" s="202">
        <f t="shared" si="36"/>
        <v>1598.3734951313543</v>
      </c>
      <c r="AU81" s="106">
        <f>IF($D$40,IMDIV(COMPLEX($D$35,$B81,"j"),COMPLEX($D$34,$B81,"j")),1)</f>
        <v>1</v>
      </c>
      <c r="AV81" s="107">
        <f>IMABS(AU81)</f>
        <v>1</v>
      </c>
      <c r="AW81">
        <f t="shared" si="38"/>
        <v>3399.9249186887782</v>
      </c>
      <c r="AX81" s="356">
        <f t="shared" si="40"/>
        <v>0.0006409188387343307</v>
      </c>
    </row>
    <row r="82" spans="1:50" ht="15" customHeight="1">
      <c r="A82" s="60">
        <v>400</v>
      </c>
      <c r="B82" s="124">
        <f t="shared" si="37"/>
        <v>2513.2741228718346</v>
      </c>
      <c r="H82" s="9" t="str">
        <f>IMDIV(COMPLEX(0,$D$14*$B82,"j"),COMPLEX(1,$B82*$D$20*$D$14,"j"))</f>
        <v>2.3768840209547E-002+4.90524949547564E-002j</v>
      </c>
      <c r="I82" s="10" t="str">
        <f>COMPLEX(1/$D$16,0,"j")</f>
        <v>1.72117039586919E-006</v>
      </c>
      <c r="J82" s="10" t="str">
        <f>IMPRODUCT(1/$D$17,IMDIV(COMPLEX(1/$D$15,0,"j"),COMPLEX(1/$D$15,$B82,"j")))</f>
        <v>2.28888727882179E-016-4.62509133909882E-011j</v>
      </c>
      <c r="K82" s="11" t="str">
        <f>IMSUM($H82,$I82,$J82)</f>
        <v>2.37705613799431E-002+4.90524949085055E-002j</v>
      </c>
      <c r="L82" s="116" t="str">
        <f>COMPLEX($D$18,0,"j")</f>
        <v>12.98</v>
      </c>
      <c r="M82" s="9" t="str">
        <f>IMPRODUCT($L82,$K82)</f>
        <v>0.308541886711661+0.636701383912401j</v>
      </c>
      <c r="N82" s="11">
        <f>IMABS($M82)</f>
        <v>0.7075215531215697</v>
      </c>
      <c r="O82" s="18">
        <f t="shared" si="39"/>
        <v>1.4133845048084002</v>
      </c>
      <c r="P82" s="18">
        <f t="shared" si="27"/>
        <v>0.7066922524042001</v>
      </c>
      <c r="Q82" s="115">
        <f t="shared" si="28"/>
        <v>1776.111350801487</v>
      </c>
      <c r="R82" s="9" t="str">
        <f>IMDIV(COMPLEX(1/$D$29,0,"j"),COMPLEX(1-$B82*$B82*$D$30*$D$30,$B82*2*$D$21*$D$30,"j"))</f>
        <v>-3.16629173826036E-007-7.91574171399733E-011j</v>
      </c>
      <c r="S82" s="11">
        <f>IMABS($R82)</f>
        <v>3.166291837207285E-07</v>
      </c>
      <c r="T82" s="34" t="str">
        <f>IMPRODUCT(IMDIV($D$23,COMPLEX(1,$B82*$D$31,"j")),$AU82)</f>
        <v>268641.080775235-170142.506516485j</v>
      </c>
      <c r="U82" s="21">
        <f>IMABS($T82)</f>
        <v>317988.21173716255</v>
      </c>
      <c r="V82" s="9" t="str">
        <f>IMPRODUCT($R82,$T82)</f>
        <v>-8.50730715029576E-002+5.38508163369137E-002j</v>
      </c>
      <c r="W82" s="58">
        <f>IMABS($V82)</f>
        <v>0.10068434791515188</v>
      </c>
      <c r="X82" s="10">
        <f t="shared" si="29"/>
        <v>0.05034217395757594</v>
      </c>
      <c r="Y82" s="21">
        <f t="shared" si="30"/>
        <v>126.52368309668799</v>
      </c>
      <c r="Z82" s="10" t="str">
        <f>IMPRODUCT($M82,$V82)</f>
        <v>-6.05354952764041E-002-3.75509098860573E-002j</v>
      </c>
      <c r="AA82" s="18">
        <f>IMABS($Z82)</f>
        <v>0.07123634621196079</v>
      </c>
      <c r="AB82" s="13">
        <f>180/PI()*IMARGUMENT($Z82)</f>
        <v>-148.18816556414123</v>
      </c>
      <c r="AC82" s="9" t="str">
        <f>IMDIV($V82,IMSUM(1,IMPRODUCT($V82,$M82)))</f>
        <v>-9.26978981565177E-002+5.36155710655944E-002j</v>
      </c>
      <c r="AD82" s="18">
        <f>IMABS($AC82)</f>
        <v>0.10708655276609631</v>
      </c>
      <c r="AE82" s="16">
        <f>180/PI()*IMARGUMENT($AC82)</f>
        <v>149.95532534309464</v>
      </c>
      <c r="AF82" s="33">
        <f t="shared" si="31"/>
        <v>0.053543276383048156</v>
      </c>
      <c r="AG82" s="9" t="str">
        <f>IMPRODUCT($AC82,COMPLEX(0,$B82,"j"),COMPLEX($D$19,0,"j"))</f>
        <v>-67.375313671077-116.487614340692j</v>
      </c>
      <c r="AH82" s="12">
        <f>IMABS(AG82)</f>
        <v>134.5689309872892</v>
      </c>
      <c r="AI82" s="35">
        <f>180/PI()*IMARGUMENT($AG82)</f>
        <v>-120.04467465690537</v>
      </c>
      <c r="AJ82" s="55" t="str">
        <f>IMDIV(COMPLEX(0,$B82,"j"),COMPLEX(1/$D$26,$B82,"j"))</f>
        <v>0.999999999975509+4.94884773283574E-006j</v>
      </c>
      <c r="AK82" s="35">
        <f>IMABS(AJ82)</f>
        <v>0.9999999999877546</v>
      </c>
      <c r="AL82" s="13">
        <f>180/PI()*IMARGUMENT($AJ82)</f>
        <v>0.0002835480885490035</v>
      </c>
      <c r="AM82" s="36" t="str">
        <f>IMPRODUCT(AG82,AJ82)</f>
        <v>-67.3747371899608-116.487947768007j</v>
      </c>
      <c r="AN82" s="35">
        <f>IMABS(AM82)</f>
        <v>134.568930985641</v>
      </c>
      <c r="AO82" s="57">
        <f>180/PI()*IMARGUMENT($AM82)</f>
        <v>-120.04439110881692</v>
      </c>
      <c r="AP82" s="204">
        <f t="shared" si="32"/>
        <v>95849472.92766304</v>
      </c>
      <c r="AQ82" s="137">
        <f t="shared" si="33"/>
        <v>149.7648014494735</v>
      </c>
      <c r="AR82" s="138">
        <f t="shared" si="34"/>
        <v>8747957.075989746</v>
      </c>
      <c r="AS82" s="138">
        <f t="shared" si="35"/>
        <v>2093219913508.5742</v>
      </c>
      <c r="AT82" s="202">
        <f t="shared" si="36"/>
        <v>1598.3734951313543</v>
      </c>
      <c r="AU82" s="106">
        <f>IF($D$40,IMDIV(COMPLEX($D$35,$B82,"j"),COMPLEX($D$34,$B82,"j")),1)</f>
        <v>1</v>
      </c>
      <c r="AV82" s="107">
        <f>IMABS(AU82)</f>
        <v>1</v>
      </c>
      <c r="AW82">
        <f t="shared" si="38"/>
        <v>3179.8821173716256</v>
      </c>
      <c r="AX82" s="356">
        <f t="shared" si="40"/>
        <v>0.00041635642599371274</v>
      </c>
    </row>
    <row r="83" spans="1:50" ht="15" customHeight="1">
      <c r="A83" s="60">
        <v>500</v>
      </c>
      <c r="B83" s="124">
        <f t="shared" si="37"/>
        <v>3141.592653589793</v>
      </c>
      <c r="H83" s="9" t="str">
        <f>IMDIV(COMPLEX(0,$D$14*$B83,"j"),COMPLEX(1,$B83*$D$20*$D$14,"j"))</f>
        <v>3.3550282012758E-002+5.53910085524642E-002j</v>
      </c>
      <c r="I83" s="10" t="str">
        <f>COMPLEX(1/$D$16,0,"j")</f>
        <v>1.72117039586919E-006</v>
      </c>
      <c r="J83" s="10" t="str">
        <f>IMPRODUCT(1/$D$17,IMDIV(COMPLEX(1/$D$15,0,"j"),COMPLEX(1/$D$15,$B83,"j")))</f>
        <v>1.46488785845886E-016-3.70007307131167E-011j</v>
      </c>
      <c r="K83" s="11" t="str">
        <f>IMSUM($H83,$I83,$J83)</f>
        <v>3.3552003183154E-002+5.53910085154635E-002j</v>
      </c>
      <c r="L83" s="116" t="str">
        <f>COMPLEX($D$18,0,"j")</f>
        <v>12.98</v>
      </c>
      <c r="M83" s="9" t="str">
        <f>IMPRODUCT($L83,$K83)</f>
        <v>0.435505001317339+0.718975290530716j</v>
      </c>
      <c r="N83" s="11">
        <f>IMABS($M83)</f>
        <v>0.840589123511685</v>
      </c>
      <c r="O83" s="18">
        <f t="shared" si="39"/>
        <v>1.1896418500186543</v>
      </c>
      <c r="P83" s="18">
        <f t="shared" si="27"/>
        <v>0.5948209250093272</v>
      </c>
      <c r="Q83" s="115">
        <f t="shared" si="28"/>
        <v>1868.6850482107873</v>
      </c>
      <c r="R83" s="9" t="str">
        <f>IMDIV(COMPLEX(1/$D$29,0,"j"),COMPLEX(1-$B83*$B83*$D$30*$D$30,$B83*2*$D$21*$D$30,"j"))</f>
        <v>-2.02642561821527E-007-4.05285528928583E-011j</v>
      </c>
      <c r="S83" s="11">
        <f>IMABS($R83)</f>
        <v>2.0264256587438632E-07</v>
      </c>
      <c r="T83" s="34" t="str">
        <f>IMPRODUCT(IMDIV($D$23,COMPLEX(1,$B83*$D$31,"j")),$AU83)</f>
        <v>231380.25804195-183179.434750276j</v>
      </c>
      <c r="U83" s="21">
        <f>IMABS($T83)</f>
        <v>295112.7396894109</v>
      </c>
      <c r="V83" s="9" t="str">
        <f>IMPRODUCT($R83,$T83)</f>
        <v>-4.68949122419569E-002+3.71105724237888E-002j</v>
      </c>
      <c r="W83" s="58">
        <f>IMABS($V83)</f>
        <v>0.059802402792882105</v>
      </c>
      <c r="X83" s="10">
        <f t="shared" si="29"/>
        <v>0.029901201396441052</v>
      </c>
      <c r="Y83" s="21">
        <f t="shared" si="30"/>
        <v>93.93739464056807</v>
      </c>
      <c r="Z83" s="10" t="str">
        <f>IMPRODUCT($M83,$V83)</f>
        <v>-4.71045534078647E-002-1.7554443261264E-002j</v>
      </c>
      <c r="AA83" s="18">
        <f>IMABS($Z83)</f>
        <v>0.05026924934756153</v>
      </c>
      <c r="AB83" s="13">
        <f>180/PI()*IMARGUMENT($Z83)</f>
        <v>-159.56109608923532</v>
      </c>
      <c r="AC83" s="9" t="str">
        <f>IMDIV($V83,IMSUM(1,IMPRODUCT($V83,$M83)))</f>
        <v>-4.99135866971046E-002+3.80255434399799E-002j</v>
      </c>
      <c r="AD83" s="18">
        <f>IMABS($AC83)</f>
        <v>0.06274797280291353</v>
      </c>
      <c r="AE83" s="16">
        <f>180/PI()*IMARGUMENT($AC83)</f>
        <v>142.69885236042074</v>
      </c>
      <c r="AF83" s="33">
        <f t="shared" si="31"/>
        <v>0.03137398640145676</v>
      </c>
      <c r="AG83" s="9" t="str">
        <f>IMPRODUCT($AC83,COMPLEX(0,$B83,"j"),COMPLEX($D$19,0,"j"))</f>
        <v>-59.7303839599002-78.4040786409704j</v>
      </c>
      <c r="AH83" s="12">
        <f>IMABS(AG83)</f>
        <v>98.56428519264254</v>
      </c>
      <c r="AI83" s="35">
        <f>180/PI()*IMARGUMENT($AG83)</f>
        <v>-127.30114763957931</v>
      </c>
      <c r="AJ83" s="55" t="str">
        <f>IMDIV(COMPLEX(0,$B83,"j"),COMPLEX(1/$D$26,$B83,"j"))</f>
        <v>0.999999999984326+3.95907818630349E-006j</v>
      </c>
      <c r="AK83" s="35">
        <f>IMABS(AJ83)</f>
        <v>0.999999999992163</v>
      </c>
      <c r="AL83" s="13">
        <f>180/PI()*IMARGUMENT($AJ83)</f>
        <v>0.00022683847083986892</v>
      </c>
      <c r="AM83" s="36" t="str">
        <f>IMPRODUCT(AG83,AJ83)</f>
        <v>-59.7300735510865-78.4043151170017j</v>
      </c>
      <c r="AN83" s="35">
        <f>IMABS(AM83)</f>
        <v>98.5642851918701</v>
      </c>
      <c r="AO83" s="57">
        <f>180/PI()*IMARGUMENT($AM83)</f>
        <v>-127.30092080110846</v>
      </c>
      <c r="AP83" s="204">
        <f t="shared" si="32"/>
        <v>119811841.1595788</v>
      </c>
      <c r="AQ83" s="137">
        <f t="shared" si="33"/>
        <v>119.81184115957882</v>
      </c>
      <c r="AR83" s="138">
        <f t="shared" si="34"/>
        <v>10934946.344987182</v>
      </c>
      <c r="AS83" s="138">
        <f t="shared" si="35"/>
        <v>3270656114857.1465</v>
      </c>
      <c r="AT83" s="202">
        <f t="shared" si="36"/>
        <v>1598.3734951313543</v>
      </c>
      <c r="AU83" s="106">
        <f>IF($D$40,IMDIV(COMPLEX($D$35,$B83,"j"),COMPLEX($D$34,$B83,"j")),1)</f>
        <v>1</v>
      </c>
      <c r="AV83" s="107">
        <f>IMABS(AU83)</f>
        <v>1</v>
      </c>
      <c r="AW83">
        <f t="shared" si="38"/>
        <v>2951.127396894109</v>
      </c>
      <c r="AX83" s="356">
        <f t="shared" si="40"/>
        <v>0.0002927714020023372</v>
      </c>
    </row>
    <row r="84" spans="1:50" ht="15" customHeight="1">
      <c r="A84" s="60">
        <v>600</v>
      </c>
      <c r="B84" s="124">
        <f t="shared" si="37"/>
        <v>3769.9111843077517</v>
      </c>
      <c r="H84" s="9" t="str">
        <f>IMDIV(COMPLEX(0,$D$14*$B84,"j"),COMPLEX(1,$B84*$D$20*$D$14,"j"))</f>
        <v>4.32094947168743E-002+5.94485189548209E-002j</v>
      </c>
      <c r="I84" s="10" t="str">
        <f>COMPLEX(1/$D$16,0,"j")</f>
        <v>1.72117039586919E-006</v>
      </c>
      <c r="J84" s="10" t="str">
        <f>IMPRODUCT(1/$D$17,IMDIV(COMPLEX(1/$D$15,0,"j"),COMPLEX(1/$D$15,$B84,"j")))</f>
        <v>1.01728323504575E-016-3.08339422610783E-011j</v>
      </c>
      <c r="K84" s="11" t="str">
        <f>IMSUM($H84,$I84,$J84)</f>
        <v>4.32112158872703E-002+5.9448518923987E-002j</v>
      </c>
      <c r="L84" s="116" t="str">
        <f>COMPLEX($D$18,0,"j")</f>
        <v>12.98</v>
      </c>
      <c r="M84" s="9" t="str">
        <f>IMPRODUCT($L84,$K84)</f>
        <v>0.560881582216769+0.771641775633351j</v>
      </c>
      <c r="N84" s="11">
        <f>IMABS($M84)</f>
        <v>0.9539492539818757</v>
      </c>
      <c r="O84" s="18">
        <f t="shared" si="39"/>
        <v>1.0482737900636792</v>
      </c>
      <c r="P84" s="18">
        <f t="shared" si="27"/>
        <v>0.5241368950318396</v>
      </c>
      <c r="Q84" s="115">
        <f t="shared" si="28"/>
        <v>1975.94954268887</v>
      </c>
      <c r="R84" s="9" t="str">
        <f>IMDIV(COMPLEX(1/$D$29,0,"j"),COMPLEX(1-$B84*$B84*$D$30*$D$30,$B84*2*$D$21*$D$30,"j"))</f>
        <v>-1.40723959985885E-007-2.34540096184874E-011j</v>
      </c>
      <c r="S84" s="11">
        <f>IMABS($R84)</f>
        <v>1.4072396194038712E-07</v>
      </c>
      <c r="T84" s="34" t="str">
        <f>IMPRODUCT(IMDIV($D$23,COMPLEX(1,$B84*$D$31,"j")),$AU84)</f>
        <v>197841.45975638-187952.872427548j</v>
      </c>
      <c r="U84" s="21">
        <f>IMABS($T84)</f>
        <v>272887.38602636335</v>
      </c>
      <c r="V84" s="9" t="str">
        <f>IMPRODUCT($R84,$T84)</f>
        <v>-2.78454419147836E-002+2.64448323232263E-002j</v>
      </c>
      <c r="W84" s="58">
        <f>IMABS($V84)</f>
        <v>0.038401794125185636</v>
      </c>
      <c r="X84" s="10">
        <f t="shared" si="29"/>
        <v>0.019200897062592818</v>
      </c>
      <c r="Y84" s="21">
        <f t="shared" si="30"/>
        <v>72.38567658501051</v>
      </c>
      <c r="Z84" s="10" t="str">
        <f>IMPRODUCT($M84,$V84)</f>
        <v>-3.60239328889095E-002-6.65428684751063E-003j</v>
      </c>
      <c r="AA84" s="18">
        <f>IMABS($Z84)</f>
        <v>0.036633362857286376</v>
      </c>
      <c r="AB84" s="13">
        <f>180/PI()*IMARGUMENT($Z84)</f>
        <v>-169.53437766282974</v>
      </c>
      <c r="AC84" s="9" t="str">
        <f>IMDIV($V84,IMSUM(1,IMPRODUCT($V84,$M84)))</f>
        <v>-2.9074014344571E-002+2.72323830306708E-002j</v>
      </c>
      <c r="AD84" s="18">
        <f>IMABS($AC84)</f>
        <v>0.039835925941761254</v>
      </c>
      <c r="AE84" s="16">
        <f>180/PI()*IMARGUMENT($AC84)</f>
        <v>136.87332353413754</v>
      </c>
      <c r="AF84" s="33">
        <f t="shared" si="31"/>
        <v>0.019917962970880627</v>
      </c>
      <c r="AG84" s="9" t="str">
        <f>IMPRODUCT($AC84,COMPLEX(0,$B84,"j"),COMPLEX($D$19,0,"j"))</f>
        <v>-51.3318326813392-54.8032259251611j</v>
      </c>
      <c r="AH84" s="12">
        <f>IMABS(AG84)</f>
        <v>75.0889513725505</v>
      </c>
      <c r="AI84" s="35">
        <f>180/PI()*IMARGUMENT($AG84)</f>
        <v>-133.12667646586246</v>
      </c>
      <c r="AJ84" s="55" t="str">
        <f>IMDIV(COMPLEX(0,$B84,"j"),COMPLEX(1/$D$26,$B84,"j"))</f>
        <v>0.999999999989115+3.29923182193538E-006j</v>
      </c>
      <c r="AK84" s="35">
        <f>IMABS(AJ84)</f>
        <v>0.9999999999945574</v>
      </c>
      <c r="AL84" s="13">
        <f>180/PI()*IMARGUMENT($AJ84)</f>
        <v>0.00018903205903352614</v>
      </c>
      <c r="AM84" s="36" t="str">
        <f>IMPRODUCT(AG84,AJ84)</f>
        <v>-51.3316518722335-54.8033952801804j</v>
      </c>
      <c r="AN84" s="35">
        <f>IMABS(AM84)</f>
        <v>75.08895137214178</v>
      </c>
      <c r="AO84" s="57">
        <f>180/PI()*IMARGUMENT($AM84)</f>
        <v>-133.12648743380342</v>
      </c>
      <c r="AP84" s="204">
        <f t="shared" si="32"/>
        <v>143774209.39149457</v>
      </c>
      <c r="AQ84" s="137">
        <f t="shared" si="33"/>
        <v>99.84320096631568</v>
      </c>
      <c r="AR84" s="138">
        <f t="shared" si="34"/>
        <v>13121935.613984618</v>
      </c>
      <c r="AS84" s="138">
        <f t="shared" si="35"/>
        <v>4709744805394.291</v>
      </c>
      <c r="AT84" s="202">
        <f t="shared" si="36"/>
        <v>1598.3734951313543</v>
      </c>
      <c r="AU84" s="106">
        <f>IF($D$40,IMDIV(COMPLEX($D$35,$B84,"j"),COMPLEX($D$34,$B84,"j")),1)</f>
        <v>1</v>
      </c>
      <c r="AV84" s="107">
        <f>IMABS(AU84)</f>
        <v>1</v>
      </c>
      <c r="AW84">
        <f t="shared" si="38"/>
        <v>2728.8738602636336</v>
      </c>
      <c r="AX84" s="356">
        <f t="shared" si="40"/>
        <v>0.00021700612747285899</v>
      </c>
    </row>
    <row r="85" spans="1:50" ht="15" customHeight="1">
      <c r="A85" s="60">
        <v>700</v>
      </c>
      <c r="B85" s="124">
        <f t="shared" si="37"/>
        <v>4398.22971502571</v>
      </c>
      <c r="H85" s="9" t="str">
        <f>IMDIV(COMPLEX(0,$D$14*$B85,"j"),COMPLEX(1,$B85*$D$20*$D$14,"j"))</f>
        <v>5.22861746067132E-002+6.16597743333162E-002j</v>
      </c>
      <c r="I85" s="10" t="str">
        <f>COMPLEX(1/$D$16,0,"j")</f>
        <v>1.72117039586919E-006</v>
      </c>
      <c r="J85" s="10" t="str">
        <f>IMPRODUCT(1/$D$17,IMDIV(COMPLEX(1/$D$15,0,"j"),COMPLEX(1/$D$15,$B85,"j")))</f>
        <v>7.47391764525566E-017-2.64290933667149E-011j</v>
      </c>
      <c r="K85" s="11" t="str">
        <f>IMSUM($H85,$I85,$J85)</f>
        <v>5.22878957771091E-002+6.16597743068871E-002j</v>
      </c>
      <c r="L85" s="116" t="str">
        <f>COMPLEX($D$18,0,"j")</f>
        <v>12.98</v>
      </c>
      <c r="M85" s="9" t="str">
        <f>IMPRODUCT($L85,$K85)</f>
        <v>0.678696887186876+0.800343870503395j</v>
      </c>
      <c r="N85" s="11">
        <f>IMABS($M85)</f>
        <v>1.0493711334554188</v>
      </c>
      <c r="O85" s="18">
        <f t="shared" si="39"/>
        <v>0.9529516947041918</v>
      </c>
      <c r="P85" s="18">
        <f t="shared" si="27"/>
        <v>0.4764758473520959</v>
      </c>
      <c r="Q85" s="115">
        <f t="shared" si="28"/>
        <v>2095.6502303160423</v>
      </c>
      <c r="R85" s="9" t="str">
        <f>IMDIV(COMPLEX(1/$D$29,0,"j"),COMPLEX(1-$B85*$B85*$D$30*$D$30,$B85*2*$D$21*$D$30,"j"))</f>
        <v>-1.03389013539861E-007-1.47698666127692E-011j</v>
      </c>
      <c r="S85" s="11">
        <f>IMABS($R85)</f>
        <v>1.0338901459485201E-07</v>
      </c>
      <c r="T85" s="34" t="str">
        <f>IMPRODUCT(IMDIV($D$23,COMPLEX(1,$B85*$D$31,"j")),$AU85)</f>
        <v>168906.764854023-187208.469566956j</v>
      </c>
      <c r="U85" s="21">
        <f>IMABS($T85)</f>
        <v>252143.82064816522</v>
      </c>
      <c r="V85" s="9" t="str">
        <f>IMPRODUCT($R85,$T85)</f>
        <v>-1.7465868842591E-002+1.93528042644478E-002j</v>
      </c>
      <c r="W85" s="58">
        <f>IMABS($V85)</f>
        <v>0.026068901152994924</v>
      </c>
      <c r="X85" s="10">
        <f t="shared" si="29"/>
        <v>0.013034450576497462</v>
      </c>
      <c r="Y85" s="21">
        <f t="shared" si="30"/>
        <v>57.32850784458513</v>
      </c>
      <c r="Z85" s="10" t="str">
        <f>IMPRODUCT($M85,$V85)</f>
        <v>-2.73429290855835E-002-8.44013058566309E-004j</v>
      </c>
      <c r="AA85" s="18">
        <f>IMABS($Z85)</f>
        <v>0.02735595235085554</v>
      </c>
      <c r="AB85" s="13">
        <f>180/PI()*IMARGUMENT($Z85)</f>
        <v>-178.23197303115302</v>
      </c>
      <c r="AC85" s="9" t="str">
        <f>IMDIV($V85,IMSUM(1,IMPRODUCT($V85,$M85)))</f>
        <v>-1.79741137920884E-002+1.98812453596943E-002j</v>
      </c>
      <c r="AD85" s="18">
        <f>IMABS($AC85)</f>
        <v>0.026801729117042216</v>
      </c>
      <c r="AE85" s="16">
        <f>180/PI()*IMARGUMENT($AC85)</f>
        <v>132.11590943337748</v>
      </c>
      <c r="AF85" s="33">
        <f t="shared" si="31"/>
        <v>0.013400864558521108</v>
      </c>
      <c r="AG85" s="9" t="str">
        <f>IMPRODUCT($AC85,COMPLEX(0,$B85,"j"),COMPLEX($D$19,0,"j"))</f>
        <v>-43.7211420563622-39.5271406908083j</v>
      </c>
      <c r="AH85" s="12">
        <f>IMABS(AG85)</f>
        <v>58.94008070832239</v>
      </c>
      <c r="AI85" s="35">
        <f>180/PI()*IMARGUMENT($AG85)</f>
        <v>-137.88409056662252</v>
      </c>
      <c r="AJ85" s="55" t="str">
        <f>IMDIV(COMPLEX(0,$B85,"j"),COMPLEX(1/$D$26,$B85,"j"))</f>
        <v>0.999999999992003+2.82791299023849E-006j</v>
      </c>
      <c r="AK85" s="35">
        <f>IMABS(AJ85)</f>
        <v>0.9999999999960015</v>
      </c>
      <c r="AL85" s="13">
        <f>180/PI()*IMARGUMENT($AJ85)</f>
        <v>0.0001620274791717497</v>
      </c>
      <c r="AM85" s="36" t="str">
        <f>IMPRODUCT(AG85,AJ85)</f>
        <v>-43.7210302766979-39.5272643300778j</v>
      </c>
      <c r="AN85" s="35">
        <f>IMABS(AM85)</f>
        <v>58.94008070808672</v>
      </c>
      <c r="AO85" s="57">
        <f>180/PI()*IMARGUMENT($AM85)</f>
        <v>-137.8839285391433</v>
      </c>
      <c r="AP85" s="204">
        <f t="shared" si="32"/>
        <v>167736577.6234103</v>
      </c>
      <c r="AQ85" s="137">
        <f t="shared" si="33"/>
        <v>85.57988654255631</v>
      </c>
      <c r="AR85" s="138">
        <f t="shared" si="34"/>
        <v>15308924.882982053</v>
      </c>
      <c r="AS85" s="138">
        <f t="shared" si="35"/>
        <v>6410485985120.007</v>
      </c>
      <c r="AT85" s="202">
        <f t="shared" si="36"/>
        <v>1598.3734951313543</v>
      </c>
      <c r="AU85" s="106">
        <f>IF($D$40,IMDIV(COMPLEX($D$35,$B85,"j"),COMPLEX($D$34,$B85,"j")),1)</f>
        <v>1</v>
      </c>
      <c r="AV85" s="107">
        <f>IMABS(AU85)</f>
        <v>1</v>
      </c>
      <c r="AW85">
        <f t="shared" si="38"/>
        <v>2521.4382064816523</v>
      </c>
      <c r="AX85" s="356">
        <f t="shared" si="40"/>
        <v>0.00016712662473562497</v>
      </c>
    </row>
    <row r="86" spans="1:50" ht="15" customHeight="1">
      <c r="A86" s="60">
        <v>800</v>
      </c>
      <c r="B86" s="124">
        <f t="shared" si="37"/>
        <v>5026.548245743669</v>
      </c>
      <c r="H86" s="9" t="str">
        <f>IMDIV(COMPLEX(0,$D$14*$B86,"j"),COMPLEX(1,$B86*$D$20*$D$14,"j"))</f>
        <v>6.05401189258282E-002+6.2469263371478E-002j</v>
      </c>
      <c r="I86" s="10" t="str">
        <f>COMPLEX(1/$D$16,0,"j")</f>
        <v>1.72117039586919E-006</v>
      </c>
      <c r="J86" s="10" t="str">
        <f>IMPRODUCT(1/$D$17,IMDIV(COMPLEX(1/$D$15,0,"j"),COMPLEX(1/$D$15,$B86,"j")))</f>
        <v>5.72221819715958E-017-2.31254566959189E-011j</v>
      </c>
      <c r="K86" s="11" t="str">
        <f>IMSUM($H86,$I86,$J86)</f>
        <v>6.05418400962241E-002+6.24692633483525E-002j</v>
      </c>
      <c r="L86" s="116" t="str">
        <f>COMPLEX($D$18,0,"j")</f>
        <v>12.98</v>
      </c>
      <c r="M86" s="9" t="str">
        <f>IMPRODUCT($L86,$K86)</f>
        <v>0.785833084448989+0.810851038261615j</v>
      </c>
      <c r="N86" s="11">
        <f>IMABS($M86)</f>
        <v>1.1291647545263492</v>
      </c>
      <c r="O86" s="18">
        <f t="shared" si="39"/>
        <v>0.8856103557885758</v>
      </c>
      <c r="P86" s="18">
        <f t="shared" si="27"/>
        <v>0.4428051778942879</v>
      </c>
      <c r="Q86" s="115">
        <f t="shared" si="28"/>
        <v>2225.781590150746</v>
      </c>
      <c r="R86" s="9" t="str">
        <f>IMDIV(COMPLEX(1/$D$29,0,"j"),COMPLEX(1-$B86*$B86*$D$30*$D$30,$B86*2*$D$21*$D$30,"j"))</f>
        <v>-7.91572044045277E-008-9.89465441566535E-012j</v>
      </c>
      <c r="S86" s="11">
        <f>IMABS($R86)</f>
        <v>7.915720502294383E-08</v>
      </c>
      <c r="T86" s="34" t="str">
        <f>IMPRODUCT(IMDIV($D$23,COMPLEX(1,$B86*$D$31,"j")),$AU86)</f>
        <v>144518.882033336-183060.645506298j</v>
      </c>
      <c r="U86" s="21">
        <f>IMABS($T86)</f>
        <v>233231.44555858627</v>
      </c>
      <c r="V86" s="9" t="str">
        <f>IMPRODUCT($R86,$T86)</f>
        <v>-1.1441522007251E-002+1.44891389703726E-002j</v>
      </c>
      <c r="W86" s="58">
        <f>IMABS($V86)</f>
        <v>0.018461949353878612</v>
      </c>
      <c r="X86" s="10">
        <f t="shared" si="29"/>
        <v>0.009230974676939306</v>
      </c>
      <c r="Y86" s="21">
        <f t="shared" si="30"/>
        <v>46.399939568873506</v>
      </c>
      <c r="Z86" s="10" t="str">
        <f>IMPRODUCT($M86,$V86)</f>
        <v>-2.07396599073925E-002+2.10867476922536E-003j</v>
      </c>
      <c r="AA86" s="18">
        <f>IMABS($Z86)</f>
        <v>0.020846582510250247</v>
      </c>
      <c r="AB86" s="13">
        <f>180/PI()*IMARGUMENT($Z86)</f>
        <v>174.19448492266434</v>
      </c>
      <c r="AC86" s="9" t="str">
        <f>IMDIV($V86,IMSUM(1,IMPRODUCT($V86,$M86)))</f>
        <v>-1.16519261263945E-002+1.48210935323243E-002j</v>
      </c>
      <c r="AD86" s="18">
        <f>IMABS($AC86)</f>
        <v>0.018852909482328182</v>
      </c>
      <c r="AE86" s="16">
        <f>180/PI()*IMARGUMENT($AC86)</f>
        <v>128.17343161347617</v>
      </c>
      <c r="AF86" s="33">
        <f t="shared" si="31"/>
        <v>0.009426454741164091</v>
      </c>
      <c r="AG86" s="9" t="str">
        <f>IMPRODUCT($AC86,COMPLEX(0,$B86,"j"),COMPLEX($D$19,0,"j"))</f>
        <v>-37.2494708474538-29.2844844150816j</v>
      </c>
      <c r="AH86" s="12">
        <f>IMABS(AG86)</f>
        <v>47.3825295427805</v>
      </c>
      <c r="AI86" s="35">
        <f>180/PI()*IMARGUMENT($AG86)</f>
        <v>-141.82656838652383</v>
      </c>
      <c r="AJ86" s="55" t="str">
        <f>IMDIV(COMPLEX(0,$B86,"j"),COMPLEX(1/$D$26,$B86,"j"))</f>
        <v>0.999999999993877+2.47442386646332E-006j</v>
      </c>
      <c r="AK86" s="35">
        <f>IMABS(AJ86)</f>
        <v>0.9999999999969383</v>
      </c>
      <c r="AL86" s="13">
        <f>180/PI()*IMARGUMENT($AJ86)</f>
        <v>0.00014177404427536978</v>
      </c>
      <c r="AM86" s="36" t="str">
        <f>IMPRODUCT(AG86,AJ86)</f>
        <v>-37.2493983849986-29.284576585882j</v>
      </c>
      <c r="AN86" s="35">
        <f>IMABS(AM86)</f>
        <v>47.38252954263548</v>
      </c>
      <c r="AO86" s="57">
        <f>180/PI()*IMARGUMENT($AM86)</f>
        <v>-141.82642661247954</v>
      </c>
      <c r="AP86" s="204">
        <f t="shared" si="32"/>
        <v>191698945.8553261</v>
      </c>
      <c r="AQ86" s="137">
        <f t="shared" si="33"/>
        <v>74.88240072473675</v>
      </c>
      <c r="AR86" s="138">
        <f t="shared" si="34"/>
        <v>17495914.15197949</v>
      </c>
      <c r="AS86" s="138">
        <f t="shared" si="35"/>
        <v>8372879654034.297</v>
      </c>
      <c r="AT86" s="202">
        <f t="shared" si="36"/>
        <v>1598.3734951313543</v>
      </c>
      <c r="AU86" s="106">
        <f>IF($D$40,IMDIV(COMPLEX($D$35,$B86,"j"),COMPLEX($D$34,$B86,"j")),1)</f>
        <v>1</v>
      </c>
      <c r="AV86" s="107">
        <f>IMABS(AU86)</f>
        <v>1</v>
      </c>
      <c r="AW86">
        <f t="shared" si="38"/>
        <v>2332.3144555858626</v>
      </c>
      <c r="AX86" s="356">
        <f t="shared" si="40"/>
        <v>0.00013254663754679223</v>
      </c>
    </row>
    <row r="87" spans="1:50" ht="15" customHeight="1">
      <c r="A87" s="60">
        <v>900</v>
      </c>
      <c r="B87" s="124">
        <f t="shared" si="37"/>
        <v>5654.8667764616275</v>
      </c>
      <c r="H87" s="9" t="str">
        <f>IMDIV(COMPLEX(0,$D$14*$B87,"j"),COMPLEX(1,$B87*$D$20*$D$14,"j"))</f>
        <v>6.7887512140989E-002+6.22673647501699E-002j</v>
      </c>
      <c r="I87" s="10" t="str">
        <f>COMPLEX(1/$D$16,0,"j")</f>
        <v>1.72117039586919E-006</v>
      </c>
      <c r="J87" s="10" t="str">
        <f>IMPRODUCT(1/$D$17,IMDIV(COMPLEX(1/$D$15,0,"j"),COMPLEX(1/$D$15,$B87,"j")))</f>
        <v>4.52125882245289E-017-2.05559615075098E-011j</v>
      </c>
      <c r="K87" s="11" t="str">
        <f>IMSUM($H87,$I87,$J87)</f>
        <v>6.78892333113849E-002+6.22673647296139E-002j</v>
      </c>
      <c r="L87" s="116" t="str">
        <f>COMPLEX($D$18,0,"j")</f>
        <v>12.98</v>
      </c>
      <c r="M87" s="9" t="str">
        <f>IMPRODUCT($L87,$K87)</f>
        <v>0.881202248381776+0.808230394190388j</v>
      </c>
      <c r="N87" s="11">
        <f>IMABS($M87)</f>
        <v>1.195723117049364</v>
      </c>
      <c r="O87" s="18">
        <f t="shared" si="39"/>
        <v>0.8363140142909156</v>
      </c>
      <c r="P87" s="18">
        <f t="shared" si="27"/>
        <v>0.4181570071454578</v>
      </c>
      <c r="Q87" s="115">
        <f t="shared" si="28"/>
        <v>2364.6221670514765</v>
      </c>
      <c r="R87" s="9" t="str">
        <f>IMDIV(COMPLEX(1/$D$29,0,"j"),COMPLEX(1-$B87*$B87*$D$30*$D$30,$B87*2*$D$21*$D$30,"j"))</f>
        <v>-6.25439590515049E-008-6.94933092835577E-012j</v>
      </c>
      <c r="S87" s="11">
        <f>IMABS($R87)</f>
        <v>6.254395943757896E-08</v>
      </c>
      <c r="T87" s="34" t="str">
        <f>IMPRODUCT(IMDIV($D$23,COMPLEX(1,$B87*$D$31,"j")),$AU87)</f>
        <v>124195.717264284-176982.179304829j</v>
      </c>
      <c r="U87" s="21">
        <f>IMABS($T87)</f>
        <v>216211.16524887565</v>
      </c>
      <c r="V87" s="9" t="str">
        <f>IMPRODUCT($R87,$T87)</f>
        <v>-7.76892176268207E-003+1.10683030981482E-002j</v>
      </c>
      <c r="W87" s="58">
        <f>IMABS($V87)</f>
        <v>0.013522702349277384</v>
      </c>
      <c r="X87" s="10">
        <f t="shared" si="29"/>
        <v>0.006761351174638692</v>
      </c>
      <c r="Y87" s="21">
        <f t="shared" si="30"/>
        <v>38.23454012145414</v>
      </c>
      <c r="Z87" s="10" t="str">
        <f>IMPRODUCT($M87,$V87)</f>
        <v>-1.57917303008126E-002+3.47433487717236E-003j</v>
      </c>
      <c r="AA87" s="18">
        <f>IMABS($Z87)</f>
        <v>0.01616940780400875</v>
      </c>
      <c r="AB87" s="13">
        <f>180/PI()*IMARGUMENT($Z87)</f>
        <v>167.59204779331247</v>
      </c>
      <c r="AC87" s="9" t="str">
        <f>IMDIV($V87,IMSUM(1,IMPRODUCT($V87,$M87)))</f>
        <v>-7.85377817936289E-003+1.12736197156579E-002j</v>
      </c>
      <c r="AD87" s="18">
        <f>IMABS($AC87)</f>
        <v>0.013739589993297005</v>
      </c>
      <c r="AE87" s="16">
        <f>180/PI()*IMARGUMENT($AC87)</f>
        <v>124.86303564145244</v>
      </c>
      <c r="AF87" s="33">
        <f t="shared" si="31"/>
        <v>0.006869794996648503</v>
      </c>
      <c r="AG87" s="9" t="str">
        <f>IMPRODUCT($AC87,COMPLEX(0,$B87,"j"),COMPLEX($D$19,0,"j"))</f>
        <v>-31.8754087902683-22.2060346480893j</v>
      </c>
      <c r="AH87" s="12">
        <f>IMABS(AG87)</f>
        <v>38.84777548764995</v>
      </c>
      <c r="AI87" s="35">
        <f>180/PI()*IMARGUMENT($AG87)</f>
        <v>-145.1369643585475</v>
      </c>
      <c r="AJ87" s="55" t="str">
        <f>IMDIV(COMPLEX(0,$B87,"j"),COMPLEX(1/$D$26,$B87,"j"))</f>
        <v>0.999999999995162+2.19948788130355E-006j</v>
      </c>
      <c r="AK87" s="35">
        <f>IMABS(AJ87)</f>
        <v>0.9999999999975807</v>
      </c>
      <c r="AL87" s="13">
        <f>180/PI()*IMARGUMENT($AJ87)</f>
        <v>0.00012602137268927127</v>
      </c>
      <c r="AM87" s="36" t="str">
        <f>IMPRODUCT(AG87,AJ87)</f>
        <v>-31.87535994821-22.2061047575572j</v>
      </c>
      <c r="AN87" s="35">
        <f>IMABS(AM87)</f>
        <v>38.84777548755597</v>
      </c>
      <c r="AO87" s="57">
        <f>180/PI()*IMARGUMENT($AM87)</f>
        <v>-145.13683833717482</v>
      </c>
      <c r="AP87" s="204">
        <f t="shared" si="32"/>
        <v>215661314.08724183</v>
      </c>
      <c r="AQ87" s="137">
        <f t="shared" si="33"/>
        <v>66.56213397754378</v>
      </c>
      <c r="AR87" s="138">
        <f t="shared" si="34"/>
        <v>19682903.420976926</v>
      </c>
      <c r="AS87" s="138">
        <f t="shared" si="35"/>
        <v>10596925812137.156</v>
      </c>
      <c r="AT87" s="202">
        <f t="shared" si="36"/>
        <v>1598.3734951313543</v>
      </c>
      <c r="AU87" s="106">
        <f>IF($D$40,IMDIV(COMPLEX($D$35,$B87,"j"),COMPLEX($D$34,$B87,"j")),1)</f>
        <v>1</v>
      </c>
      <c r="AV87" s="107">
        <f>IMABS(AU87)</f>
        <v>1</v>
      </c>
      <c r="AW87">
        <f t="shared" si="38"/>
        <v>2162.1116524887566</v>
      </c>
      <c r="AX87" s="356">
        <f t="shared" si="40"/>
        <v>0.0001076019618563349</v>
      </c>
    </row>
    <row r="88" spans="1:50" ht="15" customHeight="1" thickBot="1">
      <c r="A88" s="60">
        <v>1000</v>
      </c>
      <c r="B88" s="124">
        <f t="shared" si="37"/>
        <v>6283.185307179586</v>
      </c>
      <c r="H88" s="9" t="str">
        <f>IMDIV(COMPLEX(0,$D$14*$B88,"j"),COMPLEX(1,$B88*$D$20*$D$14,"j"))</f>
        <v>7.43411394235752E-002+6.13680488295944E-002j</v>
      </c>
      <c r="I88" s="10" t="str">
        <f>COMPLEX(1/$D$16,0,"j")</f>
        <v>1.72117039586919E-006</v>
      </c>
      <c r="J88" s="10" t="str">
        <f>IMPRODUCT(1/$D$17,IMDIV(COMPLEX(1/$D$15,0,"j"),COMPLEX(1/$D$15,$B88,"j")))</f>
        <v>3.6622196461902E-017-1.85003653567758E-011j</v>
      </c>
      <c r="K88" s="11" t="str">
        <f>IMSUM($H88,$I88,$J88)</f>
        <v>7.43428605939711E-002+6.1368048811094E-002j</v>
      </c>
      <c r="L88" s="116" t="str">
        <f>COMPLEX($D$18,0,"j")</f>
        <v>12.98</v>
      </c>
      <c r="M88" s="9" t="str">
        <f>IMPRODUCT($L88,$K88)</f>
        <v>0.964970330509745+0.796557273568j</v>
      </c>
      <c r="N88" s="11">
        <f>IMABS($M88)</f>
        <v>1.2512678485592812</v>
      </c>
      <c r="O88" s="18">
        <f t="shared" si="39"/>
        <v>0.7991893990974093</v>
      </c>
      <c r="P88" s="18">
        <f t="shared" si="27"/>
        <v>0.39959469954870463</v>
      </c>
      <c r="Q88" s="115">
        <f t="shared" si="28"/>
        <v>2510.7275450312623</v>
      </c>
      <c r="R88" s="9" t="str">
        <f>IMDIV(COMPLEX(1/$D$29,0,"j"),COMPLEX(1-$B88*$B88*$D$30*$D$30,$B88*2*$D$21*$D$30,"j"))</f>
        <v>-5.06606039797138E-008-5.0660616644868E-012j</v>
      </c>
      <c r="S88" s="11">
        <f>IMABS($R88)</f>
        <v>5.066060423301694E-08</v>
      </c>
      <c r="T88" s="34" t="str">
        <f>IMPRODUCT(IMDIV($D$23,COMPLEX(1,$B88*$D$31,"j")),$AU88)</f>
        <v>107327.055198824-169937.655624602j</v>
      </c>
      <c r="U88" s="21">
        <f>IMABS($T88)</f>
        <v>200992.2973072283</v>
      </c>
      <c r="V88" s="9" t="str">
        <f>IMPRODUCT($R88,$T88)</f>
        <v>-5.43811435437902E-003+8.60860054735904E-003j</v>
      </c>
      <c r="W88" s="58">
        <f>IMABS($V88)</f>
        <v>0.010182391227766367</v>
      </c>
      <c r="X88" s="10">
        <f t="shared" si="29"/>
        <v>0.005091195613883184</v>
      </c>
      <c r="Y88" s="21">
        <f t="shared" si="30"/>
        <v>31.98892547712797</v>
      </c>
      <c r="Z88" s="10" t="str">
        <f>IMPRODUCT($M88,$V88)</f>
        <v>-1.21048623871352E-002+3.97527457193627E-003j</v>
      </c>
      <c r="AA88" s="18">
        <f>IMABS($Z88)</f>
        <v>0.012740898764756103</v>
      </c>
      <c r="AB88" s="13">
        <f>180/PI()*IMARGUMENT($Z88)</f>
        <v>161.81965847214735</v>
      </c>
      <c r="AC88" s="9" t="str">
        <f>IMDIV($V88,IMSUM(1,IMPRODUCT($V88,$M88)))</f>
        <v>-5.46959467733696E-003+8.73609289023619E-003j</v>
      </c>
      <c r="AD88" s="18">
        <f>IMABS($AC88)</f>
        <v>0.010307074508374727</v>
      </c>
      <c r="AE88" s="16">
        <f>180/PI()*IMARGUMENT($AC88)</f>
        <v>122.05033808012233</v>
      </c>
      <c r="AF88" s="33">
        <f t="shared" si="31"/>
        <v>0.005153537254187364</v>
      </c>
      <c r="AG88" s="9" t="str">
        <f>IMPRODUCT($AC88,COMPLEX(0,$B88,"j"),COMPLEX($D$19,0,"j"))</f>
        <v>-27.4452452450441-17.1832384564356j</v>
      </c>
      <c r="AH88" s="12">
        <f>IMABS(AG88)</f>
        <v>32.380629555512705</v>
      </c>
      <c r="AI88" s="35">
        <f>180/PI()*IMARGUMENT($AG88)</f>
        <v>-147.94966191987777</v>
      </c>
      <c r="AJ88" s="55" t="str">
        <f>IMDIV(COMPLEX(0,$B88,"j"),COMPLEX(1/$D$26,$B88,"j"))</f>
        <v>0.999999999996081+1.97953909317501E-006j</v>
      </c>
      <c r="AK88" s="35">
        <f>IMABS(AJ88)</f>
        <v>0.9999999999980403</v>
      </c>
      <c r="AL88" s="13">
        <f>180/PI()*IMARGUMENT($AJ88)</f>
        <v>0.00011341923542037862</v>
      </c>
      <c r="AM88" s="36" t="str">
        <f>IMPRODUCT(AG88,AJ88)</f>
        <v>-27.4452112300443-17.1832927853041j</v>
      </c>
      <c r="AN88" s="35">
        <f>IMABS(AM88)</f>
        <v>32.380629555449254</v>
      </c>
      <c r="AO88" s="57">
        <f>180/PI()*IMARGUMENT($AM88)</f>
        <v>-147.94954850064246</v>
      </c>
      <c r="AP88" s="204">
        <f t="shared" si="32"/>
        <v>239623682.3191576</v>
      </c>
      <c r="AQ88" s="137">
        <f t="shared" si="33"/>
        <v>59.90592057978941</v>
      </c>
      <c r="AR88" s="138">
        <f t="shared" si="34"/>
        <v>21869892.689974364</v>
      </c>
      <c r="AS88" s="138">
        <f t="shared" si="35"/>
        <v>13082624459428.586</v>
      </c>
      <c r="AT88" s="202">
        <f t="shared" si="36"/>
        <v>1598.3734951313543</v>
      </c>
      <c r="AU88" s="106">
        <f>IF($D$40,IMDIV(COMPLEX($D$35,$B88,"j"),COMPLEX($D$34,$B88,"j")),1)</f>
        <v>1</v>
      </c>
      <c r="AV88" s="107">
        <f>IMABS(AU88)</f>
        <v>1</v>
      </c>
      <c r="AW88">
        <f t="shared" si="38"/>
        <v>2009.922973072283</v>
      </c>
      <c r="AX88" s="356">
        <f t="shared" si="40"/>
        <v>8.902871688922842E-05</v>
      </c>
    </row>
    <row r="89" spans="1:50" ht="15" customHeight="1" thickBot="1">
      <c r="A89" s="243">
        <v>37.38312092905644</v>
      </c>
      <c r="B89" s="217">
        <f>2*PI()*A89</f>
        <v>234.8850761579651</v>
      </c>
      <c r="C89" s="343" t="s">
        <v>204</v>
      </c>
      <c r="D89" s="344"/>
      <c r="E89" s="344"/>
      <c r="F89" s="218"/>
      <c r="G89" s="218"/>
      <c r="H89" s="219" t="str">
        <f>IMDIV(COMPLEX(0,$D$14*$B89,"j"),COMPLEX(1,$B89*$D$20*$D$14,"j"))</f>
        <v>2.55826292949136E-004+5.64914502615023E-003j</v>
      </c>
      <c r="I89" s="218" t="str">
        <f>COMPLEX(1/$D$16,0,"j")</f>
        <v>1.72117039586919E-006</v>
      </c>
      <c r="J89" s="218" t="str">
        <f>IMPRODUCT(1/$D$17,IMDIV(COMPLEX(1/$D$15,0,"j"),COMPLEX(1/$D$15,$B89,"j")))</f>
        <v>2.62055497928915E-014-4.9488552173272E-010j</v>
      </c>
      <c r="K89" s="220" t="str">
        <f>IMSUM($H89,$I89,$J89)</f>
        <v>2.57547463371211E-004+5.64914453126471E-003j</v>
      </c>
      <c r="L89" s="221" t="str">
        <f>COMPLEX($D$18,0,"j")</f>
        <v>12.98</v>
      </c>
      <c r="M89" s="219" t="str">
        <f>IMPRODUCT($L89,$K89)</f>
        <v>3.34296607455832E-003+7.33258960158159E-002j</v>
      </c>
      <c r="N89" s="220">
        <f>IMABS($M89)</f>
        <v>0.07340206024831929</v>
      </c>
      <c r="O89" s="222">
        <f>1/$N89</f>
        <v>13.62359580394608</v>
      </c>
      <c r="P89" s="222">
        <f>$O89*$D$19</f>
        <v>6.81179790197304</v>
      </c>
      <c r="Q89" s="223">
        <f>+$O89*$D$19*$B89</f>
        <v>1599.9896689776044</v>
      </c>
      <c r="R89" s="219" t="str">
        <f>IMDIV(COMPLEX(1/$D$29,0,"j"),COMPLEX(1-$B89*$B89*$D$30*$D$30,$B89*2*$D$21*$D$30,"j"))</f>
        <v>-3.6257156181145E-005-9.7005393143766E-008j</v>
      </c>
      <c r="S89" s="220">
        <f>IMABS($R89)</f>
        <v>3.6257285949037054E-05</v>
      </c>
      <c r="T89" s="224" t="str">
        <f>IMPRODUCT(IMDIV($D$23,COMPLEX(1,$B89*$D$31,"j")),$AU89)</f>
        <v>375085.8570229-22201.7216633351j</v>
      </c>
      <c r="U89" s="225">
        <f>IMABS($T89)</f>
        <v>375742.3539919603</v>
      </c>
      <c r="V89" s="219" t="str">
        <f>IMPRODUCT($R89,$T89)</f>
        <v>-13.6017001861563+0.768585938814678j</v>
      </c>
      <c r="W89" s="226">
        <f>IMABS($V89)</f>
        <v>13.62339797185078</v>
      </c>
      <c r="X89" s="218">
        <f>$W89*$D$19</f>
        <v>6.81169898592539</v>
      </c>
      <c r="Y89" s="225">
        <f>$W89*$D$19*$B89</f>
        <v>1599.966435074219</v>
      </c>
      <c r="Z89" s="218" t="str">
        <f>IMPRODUCT($M89,$V89)</f>
        <v>-0.101827274907377-0.994787496769561j</v>
      </c>
      <c r="AA89" s="227">
        <f>IMABS($Z89)</f>
        <v>0.999985478716622</v>
      </c>
      <c r="AB89" s="228">
        <f>180/PI()*IMARGUMENT($Z89)</f>
        <v>-95.84448798889301</v>
      </c>
      <c r="AC89" s="219" t="str">
        <f>IMDIV($V89,IMSUM(1,IMPRODUCT($V89,$M89)))</f>
        <v>-7.22659757915641-7.14822750429569j</v>
      </c>
      <c r="AD89" s="222">
        <f>IMABS($AC89)</f>
        <v>10.164687354967622</v>
      </c>
      <c r="AE89" s="229">
        <f>180/PI()*IMARGUMENT($AC89)</f>
        <v>-135.3123676299325</v>
      </c>
      <c r="AF89" s="230">
        <f>$AD89*$D$19</f>
        <v>5.082343677483811</v>
      </c>
      <c r="AG89" s="219" t="str">
        <f>IMPRODUCT($AC89,COMPLEX(0,$B89,"j"),COMPLEX($D$19,0,"j"))</f>
        <v>839.505980870477-848.709961371559j</v>
      </c>
      <c r="AH89" s="231">
        <f>IMABS(AG89)</f>
        <v>1193.7666817467368</v>
      </c>
      <c r="AI89" s="232">
        <f>180/PI()*IMARGUMENT($AG89)</f>
        <v>-45.3123676299325</v>
      </c>
      <c r="AJ89" s="55" t="str">
        <f>IMDIV(COMPLEX(0,$B89,"j"),COMPLEX(1/$D$26,$B89,"j"))</f>
        <v>0.999999997196006+5.2952750825401E-005j</v>
      </c>
      <c r="AK89" s="232">
        <f>IMABS(AJ89)</f>
        <v>0.9999999985980029</v>
      </c>
      <c r="AL89" s="228">
        <f>180/PI()*IMARGUMENT($AJ89)</f>
        <v>0.0030339691415748513</v>
      </c>
      <c r="AM89" s="233" t="str">
        <f>IMPRODUCT(AG89,AJ89)</f>
        <v>839.550920043615-848.66550484076j</v>
      </c>
      <c r="AN89" s="232">
        <f>IMABS(AM89)</f>
        <v>1193.7666800730797</v>
      </c>
      <c r="AO89" s="234">
        <f>180/PI()*IMARGUMENT($AM89)</f>
        <v>-45.30933366079093</v>
      </c>
      <c r="AP89" s="235">
        <f>$B89*$D$19*$D$23/$D$29*D$35/D$34</f>
        <v>8957881.093602872</v>
      </c>
      <c r="AQ89" s="236">
        <f>$D$23/$B89</f>
        <v>1602.4858035121106</v>
      </c>
      <c r="AR89" s="237">
        <f>$B89*$D$19/($D$18*(1/$D$16+1/$D$17))</f>
        <v>817564.843134799</v>
      </c>
      <c r="AS89" s="237">
        <f>$B89*$B89*$D$19*$D$17*$D$15/$D$18</f>
        <v>18282937989.680634</v>
      </c>
      <c r="AT89" s="238">
        <f t="shared" si="26"/>
        <v>1598.3734951313543</v>
      </c>
      <c r="AU89" s="239">
        <f>IF($D$40,IMDIV(COMPLEX($D$35,$B89,"j"),COMPLEX($D$34,$B89,"j")),1)</f>
        <v>1</v>
      </c>
      <c r="AV89" s="240">
        <f>IMABS(AU89)</f>
        <v>1</v>
      </c>
      <c r="AW89" s="218">
        <f>U89/100</f>
        <v>3757.4235399196027</v>
      </c>
      <c r="AX89" s="356">
        <f t="shared" si="40"/>
        <v>0.010008054513401473</v>
      </c>
    </row>
    <row r="90" spans="1:48" ht="15" customHeight="1" thickBot="1">
      <c r="A90" s="208"/>
      <c r="B90" s="115"/>
      <c r="H90" s="10"/>
      <c r="I90" s="10"/>
      <c r="J90" s="10"/>
      <c r="K90" s="10"/>
      <c r="L90" s="116"/>
      <c r="M90" s="10"/>
      <c r="N90" s="10"/>
      <c r="O90" s="18"/>
      <c r="P90" s="18"/>
      <c r="Q90" s="115"/>
      <c r="R90" s="10"/>
      <c r="S90" s="10"/>
      <c r="T90" s="209"/>
      <c r="U90" s="10"/>
      <c r="V90" s="10"/>
      <c r="W90" s="58"/>
      <c r="X90" s="10"/>
      <c r="Y90" s="12"/>
      <c r="Z90" s="10"/>
      <c r="AA90" s="18"/>
      <c r="AB90" s="35"/>
      <c r="AC90" s="10"/>
      <c r="AD90" s="215"/>
      <c r="AE90" s="33"/>
      <c r="AF90" s="33"/>
      <c r="AG90" s="10"/>
      <c r="AH90" s="12"/>
      <c r="AI90" s="35"/>
      <c r="AJ90" s="35"/>
      <c r="AK90" s="35"/>
      <c r="AL90" s="35"/>
      <c r="AM90" s="35"/>
      <c r="AN90" s="35"/>
      <c r="AO90" s="35"/>
      <c r="AP90" s="208"/>
      <c r="AQ90" s="208"/>
      <c r="AR90" s="208"/>
      <c r="AS90" s="208"/>
      <c r="AT90" s="208"/>
      <c r="AU90" s="216"/>
      <c r="AV90" s="20"/>
    </row>
    <row r="91" spans="3:30" ht="13.5" thickBot="1">
      <c r="C91" s="324" t="s">
        <v>206</v>
      </c>
      <c r="D91" s="326"/>
      <c r="H91" s="10"/>
      <c r="I91" s="10"/>
      <c r="J91" s="10"/>
      <c r="K91" s="10"/>
      <c r="L91" s="10"/>
      <c r="M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3:13" ht="12.75">
      <c r="C92" s="241">
        <f>A89</f>
        <v>37.38312092905644</v>
      </c>
      <c r="D92" s="32">
        <v>180</v>
      </c>
      <c r="H92" s="10"/>
      <c r="I92" s="10"/>
      <c r="J92" s="10"/>
      <c r="K92" s="10"/>
      <c r="L92" s="10"/>
      <c r="M92" s="10"/>
    </row>
    <row r="93" spans="3:4" ht="13.5" thickBot="1">
      <c r="C93" s="242">
        <f>A89</f>
        <v>37.38312092905644</v>
      </c>
      <c r="D93" s="244">
        <f>AB89</f>
        <v>-95.84448798889301</v>
      </c>
    </row>
    <row r="94" spans="1:2" ht="13.5" thickBot="1">
      <c r="A94" s="10"/>
      <c r="B94" s="10"/>
    </row>
    <row r="95" spans="1:4" ht="13.5" thickBot="1">
      <c r="A95" s="10"/>
      <c r="B95" s="11"/>
      <c r="C95" s="324" t="s">
        <v>205</v>
      </c>
      <c r="D95" s="326"/>
    </row>
    <row r="96" spans="1:4" ht="12.75">
      <c r="A96" s="10"/>
      <c r="B96" s="11"/>
      <c r="C96" s="241">
        <f>A89</f>
        <v>37.38312092905644</v>
      </c>
      <c r="D96" s="245">
        <f>AB89</f>
        <v>-95.84448798889301</v>
      </c>
    </row>
    <row r="97" spans="1:4" ht="13.5" thickBot="1">
      <c r="A97" s="10"/>
      <c r="B97" s="11"/>
      <c r="C97" s="242">
        <f>A89</f>
        <v>37.38312092905644</v>
      </c>
      <c r="D97" s="83">
        <v>-180</v>
      </c>
    </row>
  </sheetData>
  <sheetProtection sheet="1" objects="1" scenarios="1"/>
  <mergeCells count="63">
    <mergeCell ref="C89:E89"/>
    <mergeCell ref="C95:D95"/>
    <mergeCell ref="C91:D91"/>
    <mergeCell ref="AR8:AU8"/>
    <mergeCell ref="F36:G36"/>
    <mergeCell ref="F39:G39"/>
    <mergeCell ref="F40:G40"/>
    <mergeCell ref="V8:X8"/>
    <mergeCell ref="AV8:AW8"/>
    <mergeCell ref="C42:E42"/>
    <mergeCell ref="C28:G28"/>
    <mergeCell ref="C33:G33"/>
    <mergeCell ref="M9:O9"/>
    <mergeCell ref="AM10:AO10"/>
    <mergeCell ref="N8:O8"/>
    <mergeCell ref="AK8:AM8"/>
    <mergeCell ref="AL9:AO9"/>
    <mergeCell ref="AN7:AO7"/>
    <mergeCell ref="AI7:AM7"/>
    <mergeCell ref="AF8:AG8"/>
    <mergeCell ref="AE7:AH7"/>
    <mergeCell ref="AA6:AB6"/>
    <mergeCell ref="H5:N5"/>
    <mergeCell ref="AO5:AR5"/>
    <mergeCell ref="AH6:AI6"/>
    <mergeCell ref="T5:Y5"/>
    <mergeCell ref="Z5:AB5"/>
    <mergeCell ref="I6:K6"/>
    <mergeCell ref="Q5:R5"/>
    <mergeCell ref="AG5:AN5"/>
    <mergeCell ref="AC6:AG6"/>
    <mergeCell ref="AU1:AV1"/>
    <mergeCell ref="AP1:AT1"/>
    <mergeCell ref="AG1:AI1"/>
    <mergeCell ref="Z1:AA1"/>
    <mergeCell ref="AJ1:AL1"/>
    <mergeCell ref="AM1:AO1"/>
    <mergeCell ref="AC1:AF1"/>
    <mergeCell ref="H1:K1"/>
    <mergeCell ref="R1:S1"/>
    <mergeCell ref="T1:U1"/>
    <mergeCell ref="V1:Y1"/>
    <mergeCell ref="O1:Q1"/>
    <mergeCell ref="AS5:AV5"/>
    <mergeCell ref="AU7:AY7"/>
    <mergeCell ref="AD5:AE5"/>
    <mergeCell ref="AJ6:AP6"/>
    <mergeCell ref="AP7:AS7"/>
    <mergeCell ref="AT6:AV6"/>
    <mergeCell ref="AQ6:AR6"/>
    <mergeCell ref="AB7:AD7"/>
    <mergeCell ref="R6:Z6"/>
    <mergeCell ref="S7:T7"/>
    <mergeCell ref="K8:M8"/>
    <mergeCell ref="X9:Y9"/>
    <mergeCell ref="L6:N6"/>
    <mergeCell ref="U7:V7"/>
    <mergeCell ref="Y7:Z7"/>
    <mergeCell ref="W7:X7"/>
    <mergeCell ref="C13:E13"/>
    <mergeCell ref="F13:G13"/>
    <mergeCell ref="J7:Q7"/>
    <mergeCell ref="H4:K4"/>
  </mergeCells>
  <printOptions/>
  <pageMargins left="0.75" right="0.75" top="0.52" bottom="0.49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82" sqref="Q82:Q90"/>
    </sheetView>
  </sheetViews>
  <sheetFormatPr defaultColWidth="9.140625" defaultRowHeight="12.75"/>
  <cols>
    <col min="5" max="5" width="9.8515625" style="0" customWidth="1"/>
    <col min="6" max="6" width="9.28125" style="0" customWidth="1"/>
    <col min="7" max="7" width="9.8515625" style="0" customWidth="1"/>
    <col min="9" max="9" width="8.421875" style="0" customWidth="1"/>
    <col min="10" max="10" width="10.140625" style="0" customWidth="1"/>
    <col min="11" max="11" width="9.28125" style="0" customWidth="1"/>
    <col min="12" max="12" width="9.57421875" style="0" customWidth="1"/>
    <col min="18" max="18" width="10.00390625" style="0" customWidth="1"/>
    <col min="20" max="20" width="9.8515625" style="0" customWidth="1"/>
    <col min="21" max="22" width="7.8515625" style="0" customWidth="1"/>
    <col min="23" max="23" width="12.57421875" style="0" customWidth="1"/>
  </cols>
  <sheetData>
    <row r="1" spans="1:23" ht="13.5" thickBot="1">
      <c r="A1" s="163"/>
      <c r="B1" s="349" t="s">
        <v>145</v>
      </c>
      <c r="C1" s="352"/>
      <c r="D1" s="352"/>
      <c r="E1" s="353"/>
      <c r="F1" s="349" t="s">
        <v>146</v>
      </c>
      <c r="G1" s="352"/>
      <c r="H1" s="353"/>
      <c r="I1" s="349" t="s">
        <v>147</v>
      </c>
      <c r="J1" s="352"/>
      <c r="K1" s="353"/>
      <c r="L1" s="163" t="s">
        <v>31</v>
      </c>
      <c r="M1" s="349" t="s">
        <v>148</v>
      </c>
      <c r="N1" s="352"/>
      <c r="O1" s="352"/>
      <c r="P1" s="352"/>
      <c r="Q1" s="353"/>
      <c r="R1" s="349" t="s">
        <v>149</v>
      </c>
      <c r="S1" s="350"/>
      <c r="T1" s="350"/>
      <c r="U1" s="350"/>
      <c r="V1" s="350"/>
      <c r="W1" s="351"/>
    </row>
    <row r="2" spans="1:23" ht="18" customHeight="1">
      <c r="A2" s="5" t="s">
        <v>128</v>
      </c>
      <c r="B2" s="66" t="s">
        <v>9</v>
      </c>
      <c r="C2" s="67" t="s">
        <v>129</v>
      </c>
      <c r="D2" s="67" t="s">
        <v>99</v>
      </c>
      <c r="E2" s="68" t="s">
        <v>130</v>
      </c>
      <c r="F2" s="5" t="s">
        <v>131</v>
      </c>
      <c r="G2" s="5" t="s">
        <v>132</v>
      </c>
      <c r="H2" s="70" t="s">
        <v>133</v>
      </c>
      <c r="I2" s="69" t="s">
        <v>134</v>
      </c>
      <c r="J2" s="69" t="s">
        <v>135</v>
      </c>
      <c r="K2" s="70" t="s">
        <v>109</v>
      </c>
      <c r="L2" s="69" t="s">
        <v>144</v>
      </c>
      <c r="M2" s="77" t="s">
        <v>106</v>
      </c>
      <c r="N2" s="69" t="s">
        <v>111</v>
      </c>
      <c r="O2" s="69" t="s">
        <v>107</v>
      </c>
      <c r="P2" s="69" t="s">
        <v>108</v>
      </c>
      <c r="Q2" s="70" t="s">
        <v>136</v>
      </c>
      <c r="R2" s="184" t="s">
        <v>156</v>
      </c>
      <c r="S2" s="78" t="s">
        <v>137</v>
      </c>
      <c r="T2" s="78" t="s">
        <v>138</v>
      </c>
      <c r="U2" s="78" t="s">
        <v>139</v>
      </c>
      <c r="V2" s="123" t="s">
        <v>140</v>
      </c>
      <c r="W2" s="79" t="s">
        <v>142</v>
      </c>
    </row>
    <row r="3" spans="1:23" ht="30.75" customHeight="1">
      <c r="A3" s="71" t="s">
        <v>16</v>
      </c>
      <c r="B3" s="73" t="s">
        <v>79</v>
      </c>
      <c r="C3" s="74" t="s">
        <v>75</v>
      </c>
      <c r="D3" s="75" t="s">
        <v>81</v>
      </c>
      <c r="E3" s="76" t="s">
        <v>110</v>
      </c>
      <c r="F3" s="72" t="s">
        <v>104</v>
      </c>
      <c r="G3" s="72" t="s">
        <v>101</v>
      </c>
      <c r="H3" s="76" t="s">
        <v>102</v>
      </c>
      <c r="I3" s="72" t="s">
        <v>100</v>
      </c>
      <c r="J3" s="72" t="s">
        <v>103</v>
      </c>
      <c r="K3" s="76" t="s">
        <v>105</v>
      </c>
      <c r="L3" s="75" t="s">
        <v>143</v>
      </c>
      <c r="M3" s="73" t="s">
        <v>66</v>
      </c>
      <c r="N3" s="74" t="s">
        <v>62</v>
      </c>
      <c r="O3" s="74" t="s">
        <v>63</v>
      </c>
      <c r="P3" s="74" t="s">
        <v>64</v>
      </c>
      <c r="Q3" s="76" t="s">
        <v>65</v>
      </c>
      <c r="R3" s="75" t="s">
        <v>155</v>
      </c>
      <c r="S3" s="72" t="s">
        <v>100</v>
      </c>
      <c r="T3" s="72" t="s">
        <v>103</v>
      </c>
      <c r="U3" s="74" t="s">
        <v>105</v>
      </c>
      <c r="V3" s="75" t="s">
        <v>81</v>
      </c>
      <c r="W3" s="76" t="s">
        <v>141</v>
      </c>
    </row>
    <row r="4" spans="1:23" ht="15.75" thickBot="1">
      <c r="A4" s="42" t="s">
        <v>17</v>
      </c>
      <c r="B4" s="86" t="s">
        <v>19</v>
      </c>
      <c r="C4" s="87" t="s">
        <v>19</v>
      </c>
      <c r="D4" s="82"/>
      <c r="E4" s="88" t="s">
        <v>19</v>
      </c>
      <c r="F4" s="89" t="s">
        <v>58</v>
      </c>
      <c r="G4" s="64" t="s">
        <v>59</v>
      </c>
      <c r="H4" s="88" t="s">
        <v>98</v>
      </c>
      <c r="I4" s="87" t="s">
        <v>57</v>
      </c>
      <c r="J4" s="87" t="s">
        <v>52</v>
      </c>
      <c r="K4" s="43" t="s">
        <v>57</v>
      </c>
      <c r="L4" s="44" t="s">
        <v>38</v>
      </c>
      <c r="M4" s="81"/>
      <c r="N4" s="82"/>
      <c r="O4" s="82"/>
      <c r="P4" s="82"/>
      <c r="Q4" s="83"/>
      <c r="R4" s="82"/>
      <c r="S4" s="87" t="s">
        <v>57</v>
      </c>
      <c r="T4" s="87" t="s">
        <v>52</v>
      </c>
      <c r="U4" s="44" t="s">
        <v>57</v>
      </c>
      <c r="V4" s="82"/>
      <c r="W4" s="43" t="s">
        <v>57</v>
      </c>
    </row>
    <row r="5" spans="1:23" ht="13.5" thickBot="1">
      <c r="A5" s="125" t="b">
        <f>SUM(A15:A90)=SUM(Control!$A14:$A88)</f>
        <v>0</v>
      </c>
      <c r="B5" s="100" t="b">
        <f>SUM(B15:B90)=SUM(Control!W14:W88)</f>
        <v>0</v>
      </c>
      <c r="C5" s="119" t="b">
        <f>SUM(C15:C90)=SUM(Control!O14:O88)</f>
        <v>0</v>
      </c>
      <c r="D5" s="119" t="b">
        <f>SUM(D15:D90)=SUM(Control!AA14:AA88)</f>
        <v>0</v>
      </c>
      <c r="E5" s="120" t="b">
        <f>SUM(E15:E90)=SUM(Control!AD14:AD88)</f>
        <v>0</v>
      </c>
      <c r="F5" s="121" t="b">
        <f>SUM(F15:F90)=SUM(Control!X14:X88)</f>
        <v>0</v>
      </c>
      <c r="G5" s="119" t="b">
        <f>SUM(G15:G90)=SUM(Control!P14:P88)</f>
        <v>0</v>
      </c>
      <c r="H5" s="120" t="b">
        <f>SUM(H15:H90)=SUM(Control!AF14:AF88)</f>
        <v>0</v>
      </c>
      <c r="I5" s="121" t="b">
        <f>SUM(I15:I90)=SUM(Control!Q14:Q88)</f>
        <v>0</v>
      </c>
      <c r="J5" s="119" t="b">
        <f>SUM(J15:J90)=SUM(Control!AH14:AH88)</f>
        <v>0</v>
      </c>
      <c r="K5" s="120" t="b">
        <f>SUM(K15:K90)=SUM(Control!Y14:Y88)</f>
        <v>0</v>
      </c>
      <c r="L5" s="120" t="b">
        <f>SUM(L15:L90)=SUM(Control!AB14:AB88)</f>
        <v>0</v>
      </c>
      <c r="M5" s="100" t="b">
        <f>SUM(M49:M62)=SUM(Control!AP48:AP61)</f>
        <v>1</v>
      </c>
      <c r="N5" s="103" t="b">
        <f>SUM(N47:N62)=SUM(Control!AQ46:AQ61)</f>
        <v>1</v>
      </c>
      <c r="O5" s="103" t="b">
        <f>SUM(O25:O59)=SUM(Control!AR24:AR58)</f>
        <v>1</v>
      </c>
      <c r="P5" s="103" t="b">
        <f>SUM(P25:P49)=SUM(Control!AS24:AS48)</f>
        <v>1</v>
      </c>
      <c r="Q5" s="122" t="b">
        <f>(SUM(Q15:Q42)+SUM(Q82:Q90))=(SUM(Control!AT14:AT41)+SUM(Control!AT80:AT88))</f>
        <v>1</v>
      </c>
      <c r="R5" s="100" t="b">
        <f>SUM(R15:R90)=SUM(Control!AV14:AV88)</f>
        <v>0</v>
      </c>
      <c r="S5" s="185" t="b">
        <f>SUM(S15:S90)=SUM(Control!Q14:Q88)</f>
        <v>0</v>
      </c>
      <c r="T5" s="103" t="b">
        <f>SUM(T15:T90)=SUM(Control!AH14:AH88)</f>
        <v>0</v>
      </c>
      <c r="U5" s="103" t="b">
        <f>SUM(U15:U90)=SUM(Control!Y14:Y88)</f>
        <v>0</v>
      </c>
      <c r="V5" s="119" t="b">
        <f>SUM(V15:V90)=SUM(Control!AA14:AA88)</f>
        <v>0</v>
      </c>
      <c r="W5" s="122" t="b">
        <f>SUM(W15:W90)=SUM(Control!AN14:AN88)</f>
        <v>0</v>
      </c>
    </row>
    <row r="6" spans="1:23" ht="12.75">
      <c r="A6" s="162" t="s">
        <v>127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</row>
    <row r="7" spans="1:23" ht="12.75">
      <c r="A7" s="69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5"/>
    </row>
    <row r="8" spans="1:23" ht="12.75">
      <c r="A8" s="69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</row>
    <row r="9" spans="1:23" ht="12.75">
      <c r="A9" s="69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5"/>
    </row>
    <row r="10" spans="1:23" ht="12.75">
      <c r="A10" s="69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/>
    </row>
    <row r="11" spans="1:23" ht="12.75">
      <c r="A11" s="69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3" ht="12.75">
      <c r="A12" s="69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/>
    </row>
    <row r="13" spans="1:23" ht="12.75">
      <c r="A13" s="69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/>
    </row>
    <row r="14" spans="1:23" ht="13.5" thickBot="1">
      <c r="A14" s="141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3"/>
    </row>
    <row r="15" spans="1:23" ht="12.75">
      <c r="A15" s="60">
        <v>0.0001</v>
      </c>
      <c r="B15" s="9">
        <v>76274.59003591587</v>
      </c>
      <c r="C15" s="10">
        <v>6970.465164187155</v>
      </c>
      <c r="D15" s="10">
        <v>10.9425394488447</v>
      </c>
      <c r="E15" s="65">
        <v>6387.215907664216</v>
      </c>
      <c r="F15">
        <v>38137.295017957935</v>
      </c>
      <c r="G15" s="4">
        <v>3485.2325820935775</v>
      </c>
      <c r="H15" s="11">
        <v>3193.607953832108</v>
      </c>
      <c r="I15">
        <v>2.1898362151913937</v>
      </c>
      <c r="J15">
        <v>2.0066030572409783</v>
      </c>
      <c r="K15" s="21">
        <v>23.962369171240653</v>
      </c>
      <c r="L15" s="13">
        <v>-2.3656699436937076</v>
      </c>
      <c r="M15" s="9"/>
      <c r="N15" s="10"/>
      <c r="O15" s="10"/>
      <c r="P15" s="10"/>
      <c r="Q15" s="11">
        <v>1598.3734951313543</v>
      </c>
      <c r="R15" s="10">
        <v>99.99802633495152</v>
      </c>
      <c r="S15" s="9">
        <v>2.0101331743975734</v>
      </c>
      <c r="T15" s="10">
        <v>2.008449949522722</v>
      </c>
      <c r="U15" s="10">
        <v>2396.1896234335563</v>
      </c>
      <c r="V15" s="10">
        <v>1192.0551603013519</v>
      </c>
      <c r="W15" s="11">
        <v>0.11997075969708028</v>
      </c>
    </row>
    <row r="16" spans="1:23" ht="12.75">
      <c r="A16" s="60">
        <v>0.00015000000000000001</v>
      </c>
      <c r="B16" s="9">
        <v>76274.59377337119</v>
      </c>
      <c r="C16" s="10">
        <v>6981.777566954065</v>
      </c>
      <c r="D16" s="10">
        <v>10.924810056165565</v>
      </c>
      <c r="E16" s="11">
        <v>6397.2341217589565</v>
      </c>
      <c r="F16">
        <v>38137.296886685595</v>
      </c>
      <c r="G16" s="4">
        <v>3490.8887834770326</v>
      </c>
      <c r="H16" s="11">
        <v>3198.6170608794782</v>
      </c>
      <c r="I16">
        <v>3.290085167001137</v>
      </c>
      <c r="J16">
        <v>3.014625558031782</v>
      </c>
      <c r="K16" s="21">
        <v>35.94355551809531</v>
      </c>
      <c r="L16" s="13">
        <v>-3.5438709178132175</v>
      </c>
      <c r="M16" s="9"/>
      <c r="N16" s="10"/>
      <c r="O16" s="10"/>
      <c r="P16" s="10"/>
      <c r="Q16" s="11">
        <v>1598.3734951313543</v>
      </c>
      <c r="R16" s="10">
        <v>99.99555941799015</v>
      </c>
      <c r="S16" s="9">
        <v>3.0199321448359107</v>
      </c>
      <c r="T16" s="10">
        <v>3.0174023813298887</v>
      </c>
      <c r="U16" s="10">
        <v>3594.195941503527</v>
      </c>
      <c r="V16" s="10">
        <v>1190.1578476356233</v>
      </c>
      <c r="W16" s="11">
        <v>0.26975689309416195</v>
      </c>
    </row>
    <row r="17" spans="1:23" ht="12.75">
      <c r="A17" s="60">
        <v>0.0002</v>
      </c>
      <c r="B17" s="9">
        <v>76274.5990058091</v>
      </c>
      <c r="C17" s="10">
        <v>6997.586636590947</v>
      </c>
      <c r="D17" s="10">
        <v>10.90012928271054</v>
      </c>
      <c r="E17" s="11">
        <v>6411.2318358785</v>
      </c>
      <c r="F17">
        <v>38137.29950290455</v>
      </c>
      <c r="G17" s="4">
        <v>3498.7933182954735</v>
      </c>
      <c r="H17" s="11">
        <v>3205.61591793925</v>
      </c>
      <c r="I17">
        <v>4.396713354074445</v>
      </c>
      <c r="J17">
        <v>4.028295767211385</v>
      </c>
      <c r="K17" s="21">
        <v>47.92474397843144</v>
      </c>
      <c r="L17" s="13">
        <v>-4.716550159092422</v>
      </c>
      <c r="M17" s="9"/>
      <c r="N17" s="10"/>
      <c r="O17" s="10"/>
      <c r="P17" s="10"/>
      <c r="Q17" s="11">
        <v>1598.3734951313543</v>
      </c>
      <c r="R17" s="10">
        <v>99.99210604098937</v>
      </c>
      <c r="S17" s="9">
        <v>4.0353925074470585</v>
      </c>
      <c r="T17" s="10">
        <v>4.032010301644168</v>
      </c>
      <c r="U17" s="10">
        <v>4792.096081878589</v>
      </c>
      <c r="V17" s="10">
        <v>1187.516721864128</v>
      </c>
      <c r="W17" s="11">
        <v>0.47913071328659146</v>
      </c>
    </row>
    <row r="18" spans="1:23" ht="12.75">
      <c r="A18" s="60">
        <v>0.00030000000000000003</v>
      </c>
      <c r="B18" s="9">
        <v>76274.61395563549</v>
      </c>
      <c r="C18" s="10">
        <v>7042.575374943147</v>
      </c>
      <c r="D18" s="10">
        <v>10.830500192729737</v>
      </c>
      <c r="E18" s="11">
        <v>6451.048446522193</v>
      </c>
      <c r="F18">
        <v>38137.306977817745</v>
      </c>
      <c r="G18" s="4">
        <v>3521.2876874715735</v>
      </c>
      <c r="H18" s="11">
        <v>3225.5242232610967</v>
      </c>
      <c r="I18">
        <v>6.6374709180821325</v>
      </c>
      <c r="J18">
        <v>6.0799699222638015</v>
      </c>
      <c r="K18" s="21">
        <v>71.88713005752659</v>
      </c>
      <c r="L18" s="13">
        <v>-7.038291977746406</v>
      </c>
      <c r="M18" s="9"/>
      <c r="N18" s="10"/>
      <c r="O18" s="10"/>
      <c r="P18" s="10"/>
      <c r="Q18" s="11">
        <v>1598.3734951313543</v>
      </c>
      <c r="R18" s="10">
        <v>99.98224122097184</v>
      </c>
      <c r="S18" s="9">
        <v>6.09070619063247</v>
      </c>
      <c r="T18" s="10">
        <v>6.085593579497006</v>
      </c>
      <c r="U18" s="10">
        <v>7187.436378094999</v>
      </c>
      <c r="V18" s="10">
        <v>1180.0661783931282</v>
      </c>
      <c r="W18" s="11">
        <v>1.0752937037556876</v>
      </c>
    </row>
    <row r="19" spans="1:23" ht="12.75">
      <c r="A19" s="60">
        <v>0.0004</v>
      </c>
      <c r="B19" s="9">
        <v>76274.63488540256</v>
      </c>
      <c r="C19" s="10">
        <v>7105.119297858356</v>
      </c>
      <c r="D19" s="10">
        <v>10.735165968063848</v>
      </c>
      <c r="E19" s="11">
        <v>6506.358890159601</v>
      </c>
      <c r="F19">
        <v>38137.31744270128</v>
      </c>
      <c r="G19" s="4">
        <v>3552.559648929178</v>
      </c>
      <c r="H19" s="11">
        <v>3253.1794450798006</v>
      </c>
      <c r="I19">
        <v>8.928556235612351</v>
      </c>
      <c r="J19">
        <v>8.176131716377604</v>
      </c>
      <c r="K19" s="21">
        <v>95.84953304448977</v>
      </c>
      <c r="L19" s="13">
        <v>-9.317396192509822</v>
      </c>
      <c r="M19" s="9"/>
      <c r="N19" s="10"/>
      <c r="O19" s="10"/>
      <c r="P19" s="10"/>
      <c r="Q19" s="11">
        <v>1598.3734951313543</v>
      </c>
      <c r="R19" s="10">
        <v>99.96843537735792</v>
      </c>
      <c r="S19" s="9">
        <v>8.19061661422624</v>
      </c>
      <c r="T19" s="10">
        <v>8.183726673951755</v>
      </c>
      <c r="U19" s="10">
        <v>9581.927850108008</v>
      </c>
      <c r="V19" s="10">
        <v>1169.8664827584805</v>
      </c>
      <c r="W19" s="11">
        <v>1.9050396107342498</v>
      </c>
    </row>
    <row r="20" spans="1:23" ht="12.75">
      <c r="A20" s="60">
        <v>0.0005</v>
      </c>
      <c r="B20" s="9">
        <v>76274.66179511904</v>
      </c>
      <c r="C20" s="10">
        <v>7184.79772862344</v>
      </c>
      <c r="D20" s="10">
        <v>10.616118181204925</v>
      </c>
      <c r="E20" s="11">
        <v>6576.748984398379</v>
      </c>
      <c r="F20">
        <v>38137.33089755952</v>
      </c>
      <c r="G20" s="4">
        <v>3592.39886431172</v>
      </c>
      <c r="H20" s="11">
        <v>3288.3744921991897</v>
      </c>
      <c r="I20">
        <v>11.285853880886016</v>
      </c>
      <c r="J20">
        <v>10.330733146945022</v>
      </c>
      <c r="K20" s="21">
        <v>119.81195857529603</v>
      </c>
      <c r="L20" s="13">
        <v>-11.54156056521125</v>
      </c>
      <c r="M20" s="9"/>
      <c r="N20" s="10"/>
      <c r="O20" s="10"/>
      <c r="P20" s="10"/>
      <c r="Q20" s="11">
        <v>1598.3734951313543</v>
      </c>
      <c r="R20" s="10">
        <v>99.95069340875492</v>
      </c>
      <c r="S20" s="9">
        <v>10.349111693163447</v>
      </c>
      <c r="T20" s="10">
        <v>10.340382238580839</v>
      </c>
      <c r="U20" s="10">
        <v>11975.288338261838</v>
      </c>
      <c r="V20" s="10">
        <v>1157.1320025633374</v>
      </c>
      <c r="W20" s="11">
        <v>2.9640090073742815</v>
      </c>
    </row>
    <row r="21" spans="1:23" ht="12.75">
      <c r="A21" s="60">
        <v>0.0006000000000000001</v>
      </c>
      <c r="B21" s="9">
        <v>76274.69468479804</v>
      </c>
      <c r="C21" s="10">
        <v>7281.096003430326</v>
      </c>
      <c r="D21" s="10">
        <v>10.475716107693486</v>
      </c>
      <c r="E21" s="11">
        <v>6661.71108631035</v>
      </c>
      <c r="F21">
        <v>38137.34734239902</v>
      </c>
      <c r="G21" s="4">
        <v>3640.548001715163</v>
      </c>
      <c r="H21" s="11">
        <v>3330.855543155175</v>
      </c>
      <c r="I21">
        <v>13.72454262867523</v>
      </c>
      <c r="J21">
        <v>12.557029565454137</v>
      </c>
      <c r="K21" s="21">
        <v>143.7744122859396</v>
      </c>
      <c r="L21" s="13">
        <v>-13.699946111837383</v>
      </c>
      <c r="M21" s="9"/>
      <c r="N21" s="10"/>
      <c r="O21" s="10"/>
      <c r="P21" s="10"/>
      <c r="Q21" s="11">
        <v>1598.3734951313543</v>
      </c>
      <c r="R21" s="10">
        <v>99.92902160509423</v>
      </c>
      <c r="S21" s="9">
        <v>12.57948236889244</v>
      </c>
      <c r="T21" s="10">
        <v>12.568836244099968</v>
      </c>
      <c r="U21" s="10">
        <v>14367.236351581378</v>
      </c>
      <c r="V21" s="10">
        <v>1142.1166571296976</v>
      </c>
      <c r="W21" s="11">
        <v>4.24724581526706</v>
      </c>
    </row>
    <row r="22" spans="1:23" ht="12.75">
      <c r="A22" s="60">
        <v>0.0006999999999999999</v>
      </c>
      <c r="B22" s="9">
        <v>76274.73355445461</v>
      </c>
      <c r="C22" s="10">
        <v>7393.422192817319</v>
      </c>
      <c r="D22" s="10">
        <v>10.31656674882644</v>
      </c>
      <c r="E22" s="11">
        <v>6760.659986780377</v>
      </c>
      <c r="F22">
        <v>38137.366777227304</v>
      </c>
      <c r="G22" s="4">
        <v>3696.7110964086596</v>
      </c>
      <c r="H22" s="11">
        <v>3380.3299933901885</v>
      </c>
      <c r="I22">
        <v>16.25898459208984</v>
      </c>
      <c r="J22">
        <v>14.867467823521357</v>
      </c>
      <c r="K22" s="21">
        <v>167.7368998124354</v>
      </c>
      <c r="L22" s="13">
        <v>-15.783351632711032</v>
      </c>
      <c r="M22" s="9"/>
      <c r="N22" s="10"/>
      <c r="O22" s="10"/>
      <c r="P22" s="10"/>
      <c r="Q22" s="11">
        <v>1598.3734951313543</v>
      </c>
      <c r="R22" s="10">
        <v>99.90342764144535</v>
      </c>
      <c r="S22" s="9">
        <v>14.894210737503643</v>
      </c>
      <c r="T22" s="10">
        <v>14.881556139976153</v>
      </c>
      <c r="U22" s="10">
        <v>16757.491233211997</v>
      </c>
      <c r="V22" s="10">
        <v>1125.1009891391336</v>
      </c>
      <c r="W22" s="11">
        <v>5.749539957059839</v>
      </c>
    </row>
    <row r="23" spans="1:23" ht="12.75">
      <c r="A23" s="60">
        <v>0.0008</v>
      </c>
      <c r="B23" s="9">
        <v>76274.77840410636</v>
      </c>
      <c r="C23" s="10">
        <v>7521.1247933410405</v>
      </c>
      <c r="D23" s="10">
        <v>10.141405773726495</v>
      </c>
      <c r="E23" s="11">
        <v>6872.949748677281</v>
      </c>
      <c r="F23">
        <v>38137.38920205318</v>
      </c>
      <c r="G23" s="4">
        <v>3760.5623966705202</v>
      </c>
      <c r="H23" s="11">
        <v>3436.4748743386403</v>
      </c>
      <c r="I23">
        <v>18.902648317993812</v>
      </c>
      <c r="J23">
        <v>17.27360675114911</v>
      </c>
      <c r="K23" s="21">
        <v>191.69942679082394</v>
      </c>
      <c r="L23" s="13">
        <v>-17.784295845287843</v>
      </c>
      <c r="M23" s="9"/>
      <c r="N23" s="10"/>
      <c r="O23" s="10"/>
      <c r="P23" s="10"/>
      <c r="Q23" s="11">
        <v>1598.3734951313543</v>
      </c>
      <c r="R23" s="10">
        <v>99.87392057047869</v>
      </c>
      <c r="S23" s="9">
        <v>17.304890541634407</v>
      </c>
      <c r="T23" s="10">
        <v>17.29012135990828</v>
      </c>
      <c r="U23" s="10">
        <v>19145.77332471303</v>
      </c>
      <c r="V23" s="10">
        <v>1106.3793370232281</v>
      </c>
      <c r="W23" s="11">
        <v>7.4657305207142235</v>
      </c>
    </row>
    <row r="24" spans="1:23" ht="12.75">
      <c r="A24" s="60">
        <v>0.0009</v>
      </c>
      <c r="B24" s="9">
        <v>76274.82923377409</v>
      </c>
      <c r="C24" s="10">
        <v>7663.510332592647</v>
      </c>
      <c r="D24" s="10">
        <v>9.952988372623429</v>
      </c>
      <c r="E24" s="11">
        <v>6997.890490845079</v>
      </c>
      <c r="F24">
        <v>38137.41461688704</v>
      </c>
      <c r="G24" s="4">
        <v>3831.7551662963233</v>
      </c>
      <c r="H24" s="11">
        <v>3498.9452454225393</v>
      </c>
      <c r="I24">
        <v>21.668064985424277</v>
      </c>
      <c r="J24">
        <v>19.786069220998314</v>
      </c>
      <c r="K24" s="21">
        <v>215.66199885717657</v>
      </c>
      <c r="L24" s="13">
        <v>-19.697014916961123</v>
      </c>
      <c r="M24" s="9"/>
      <c r="N24" s="10"/>
      <c r="O24" s="10"/>
      <c r="P24" s="10"/>
      <c r="Q24" s="11">
        <v>1598.3734951313543</v>
      </c>
      <c r="R24" s="10">
        <v>99.84051081359272</v>
      </c>
      <c r="S24" s="9">
        <v>19.82217927767399</v>
      </c>
      <c r="T24" s="10">
        <v>19.80517542355295</v>
      </c>
      <c r="U24" s="10">
        <v>21531.80412898098</v>
      </c>
      <c r="V24" s="10">
        <v>1086.248077335901</v>
      </c>
      <c r="W24" s="11">
        <v>9.390944097225484</v>
      </c>
    </row>
    <row r="25" spans="1:23" ht="12.75">
      <c r="A25" s="60">
        <v>0.001</v>
      </c>
      <c r="B25" s="9">
        <v>76274.88604348127</v>
      </c>
      <c r="C25" s="10">
        <v>7819.8600082006915</v>
      </c>
      <c r="D25" s="10">
        <v>9.753996358437586</v>
      </c>
      <c r="E25" s="11">
        <v>7134.764286166894</v>
      </c>
      <c r="F25">
        <v>38137.44302174063</v>
      </c>
      <c r="G25" s="4">
        <v>3909.9300041003457</v>
      </c>
      <c r="H25" s="11">
        <v>3567.382143083447</v>
      </c>
      <c r="I25">
        <v>24.566814753863913</v>
      </c>
      <c r="J25">
        <v>22.414523066516768</v>
      </c>
      <c r="K25" s="21">
        <v>239.6246216475994</v>
      </c>
      <c r="L25" s="13">
        <v>-21.517389197115136</v>
      </c>
      <c r="M25" s="9"/>
      <c r="N25" s="10"/>
      <c r="O25" s="10">
        <v>21.869892689974364</v>
      </c>
      <c r="P25" s="10">
        <v>13.082624459428589</v>
      </c>
      <c r="Q25" s="11">
        <v>1598.3734951313543</v>
      </c>
      <c r="R25" s="10">
        <v>99.80321015072272</v>
      </c>
      <c r="S25" s="9">
        <v>22.45577918161502</v>
      </c>
      <c r="T25" s="10">
        <v>22.436406899992505</v>
      </c>
      <c r="U25" s="10">
        <v>23915.30647158277</v>
      </c>
      <c r="V25" s="10">
        <v>1064.995619976647</v>
      </c>
      <c r="W25" s="11">
        <v>11.52075811894663</v>
      </c>
    </row>
    <row r="26" spans="1:23" ht="12.75">
      <c r="A26" s="60">
        <v>0.0015</v>
      </c>
      <c r="B26" s="9">
        <v>76275.2597936211</v>
      </c>
      <c r="C26" s="10">
        <v>8785.85606849236</v>
      </c>
      <c r="D26" s="10">
        <v>8.681596784536193</v>
      </c>
      <c r="E26" s="11">
        <v>7972.687481793368</v>
      </c>
      <c r="F26">
        <v>38137.62989681055</v>
      </c>
      <c r="G26" s="4">
        <v>4392.92803424618</v>
      </c>
      <c r="H26" s="11">
        <v>3986.343740896684</v>
      </c>
      <c r="I26">
        <v>41.40237132040935</v>
      </c>
      <c r="J26">
        <v>37.57040463325407</v>
      </c>
      <c r="K26" s="21">
        <v>359.43869372743944</v>
      </c>
      <c r="L26" s="13">
        <v>-29.18652332095856</v>
      </c>
      <c r="M26" s="9"/>
      <c r="N26" s="10"/>
      <c r="O26" s="10">
        <v>32.804839034961546</v>
      </c>
      <c r="P26" s="10">
        <v>29.43590503371432</v>
      </c>
      <c r="Q26" s="11">
        <v>1598.3734951313543</v>
      </c>
      <c r="R26" s="10">
        <v>99.55884908758117</v>
      </c>
      <c r="S26" s="9">
        <v>37.64338826266911</v>
      </c>
      <c r="T26" s="10">
        <v>37.609705529075406</v>
      </c>
      <c r="U26" s="10">
        <v>35785.302665047464</v>
      </c>
      <c r="V26" s="10">
        <v>950.6397887284683</v>
      </c>
      <c r="W26" s="11">
        <v>25.122400103866322</v>
      </c>
    </row>
    <row r="27" spans="1:23" ht="12.75">
      <c r="A27" s="60">
        <v>0.002</v>
      </c>
      <c r="B27" s="9">
        <v>76275.78304984343</v>
      </c>
      <c r="C27" s="10">
        <v>9998.903707289275</v>
      </c>
      <c r="D27" s="10">
        <v>7.628414602516662</v>
      </c>
      <c r="E27" s="11">
        <v>9004.730322632638</v>
      </c>
      <c r="F27">
        <v>38137.89152492172</v>
      </c>
      <c r="G27" s="4">
        <v>4999.451853644638</v>
      </c>
      <c r="H27" s="11">
        <v>4502.365161316319</v>
      </c>
      <c r="I27">
        <v>62.82496486154347</v>
      </c>
      <c r="J27">
        <v>56.57838925828002</v>
      </c>
      <c r="K27" s="21">
        <v>479.254879352394</v>
      </c>
      <c r="L27" s="13">
        <v>-34.5967229666386</v>
      </c>
      <c r="M27" s="9"/>
      <c r="N27" s="10"/>
      <c r="O27" s="10">
        <v>43.73978537994873</v>
      </c>
      <c r="P27" s="10">
        <v>52.330497837714354</v>
      </c>
      <c r="Q27" s="11">
        <v>1598.3734951313543</v>
      </c>
      <c r="R27" s="10">
        <v>99.21973988003292</v>
      </c>
      <c r="S27" s="9">
        <v>56.69629594818903</v>
      </c>
      <c r="T27" s="10">
        <v>56.643004220553976</v>
      </c>
      <c r="U27" s="10">
        <v>47551.54446558108</v>
      </c>
      <c r="V27" s="10">
        <v>838.7063682085205</v>
      </c>
      <c r="W27" s="11">
        <v>43.4666502550863</v>
      </c>
    </row>
    <row r="28" spans="1:23" ht="12.75">
      <c r="A28" s="60">
        <v>0.003</v>
      </c>
      <c r="B28" s="9">
        <v>76277.27810636614</v>
      </c>
      <c r="C28" s="10">
        <v>12927.116914051863</v>
      </c>
      <c r="D28" s="10">
        <v>5.900563800382454</v>
      </c>
      <c r="E28" s="11">
        <v>11392.391461713729</v>
      </c>
      <c r="F28">
        <v>38138.63905318307</v>
      </c>
      <c r="G28" s="4">
        <v>6463.558457025932</v>
      </c>
      <c r="H28" s="11">
        <v>5696.195730856864</v>
      </c>
      <c r="I28">
        <v>121.83520658784508</v>
      </c>
      <c r="J28">
        <v>107.37075996881704</v>
      </c>
      <c r="K28" s="21">
        <v>718.8964096043563</v>
      </c>
      <c r="L28" s="13">
        <v>-40.208651373227745</v>
      </c>
      <c r="M28" s="9"/>
      <c r="N28" s="10"/>
      <c r="O28" s="10">
        <v>65.60967806992309</v>
      </c>
      <c r="P28" s="10">
        <v>117.74362013485728</v>
      </c>
      <c r="Q28" s="11">
        <v>1598.3734951313543</v>
      </c>
      <c r="R28" s="10">
        <v>98.26962712735711</v>
      </c>
      <c r="S28" s="9">
        <v>107.63684711836098</v>
      </c>
      <c r="T28" s="10">
        <v>107.52166035688062</v>
      </c>
      <c r="U28" s="10">
        <v>70645.6821150159</v>
      </c>
      <c r="V28" s="10">
        <v>656.3336255783445</v>
      </c>
      <c r="W28" s="11">
        <v>93.93149484677664</v>
      </c>
    </row>
    <row r="29" spans="1:23" ht="12.75">
      <c r="A29" s="60">
        <v>0.004</v>
      </c>
      <c r="B29" s="9">
        <v>76279.37128193212</v>
      </c>
      <c r="C29" s="10">
        <v>16299.511712843956</v>
      </c>
      <c r="D29" s="10">
        <v>4.679856220589988</v>
      </c>
      <c r="E29" s="11">
        <v>13940.523994883224</v>
      </c>
      <c r="F29">
        <v>38139.68564096606</v>
      </c>
      <c r="G29" s="4">
        <v>8149.755856421978</v>
      </c>
      <c r="H29" s="11">
        <v>6970.261997441612</v>
      </c>
      <c r="I29">
        <v>204.82570501668545</v>
      </c>
      <c r="J29">
        <v>175.18179107806912</v>
      </c>
      <c r="K29" s="21">
        <v>958.5548497590648</v>
      </c>
      <c r="L29" s="13">
        <v>-41.22927257437588</v>
      </c>
      <c r="M29" s="9"/>
      <c r="N29" s="10"/>
      <c r="O29" s="10">
        <v>87.47957075989746</v>
      </c>
      <c r="P29" s="10">
        <v>209.32199135085742</v>
      </c>
      <c r="Q29" s="11">
        <v>1598.3734951313543</v>
      </c>
      <c r="R29" s="10">
        <v>96.98418945240385</v>
      </c>
      <c r="S29" s="9">
        <v>175.7080231577439</v>
      </c>
      <c r="T29" s="10">
        <v>175.48769057407713</v>
      </c>
      <c r="U29" s="10">
        <v>92964.66514955353</v>
      </c>
      <c r="V29" s="10">
        <v>529.0860569644763</v>
      </c>
      <c r="W29" s="11">
        <v>161.92446191606913</v>
      </c>
    </row>
    <row r="30" spans="1:23" ht="12.75">
      <c r="A30" s="60">
        <v>0.005</v>
      </c>
      <c r="B30" s="9">
        <v>76282.06267298867</v>
      </c>
      <c r="C30" s="10">
        <v>19967.518996707597</v>
      </c>
      <c r="D30" s="10">
        <v>3.820307504681311</v>
      </c>
      <c r="E30" s="11">
        <v>16450.91959846475</v>
      </c>
      <c r="F30">
        <v>38141.031336494336</v>
      </c>
      <c r="G30" s="4">
        <v>9983.759498353798</v>
      </c>
      <c r="H30" s="11">
        <v>8225.459799232374</v>
      </c>
      <c r="I30">
        <v>313.64905495235615</v>
      </c>
      <c r="J30">
        <v>258.410440776666</v>
      </c>
      <c r="K30" s="21">
        <v>1198.235838470687</v>
      </c>
      <c r="L30" s="13">
        <v>-39.371876038389495</v>
      </c>
      <c r="M30" s="9"/>
      <c r="N30" s="10"/>
      <c r="O30" s="10">
        <v>109.34946344987182</v>
      </c>
      <c r="P30" s="10">
        <v>327.0656114857147</v>
      </c>
      <c r="Q30" s="11">
        <v>1598.3734951313543</v>
      </c>
      <c r="R30" s="10">
        <v>95.40329243073907</v>
      </c>
      <c r="S30" s="9">
        <v>259.3485618876249</v>
      </c>
      <c r="T30" s="10">
        <v>258.9621682726344</v>
      </c>
      <c r="U30" s="10">
        <v>114315.64409861088</v>
      </c>
      <c r="V30" s="10">
        <v>440.77994212338666</v>
      </c>
      <c r="W30" s="11">
        <v>245.60727675247944</v>
      </c>
    </row>
    <row r="31" spans="1:23" ht="12.75">
      <c r="A31" s="60">
        <v>0.006</v>
      </c>
      <c r="B31" s="9">
        <v>76285.35240355795</v>
      </c>
      <c r="C31" s="10">
        <v>23812.7598408349</v>
      </c>
      <c r="D31" s="10">
        <v>3.203549395931057</v>
      </c>
      <c r="E31" s="11">
        <v>18791.99739046775</v>
      </c>
      <c r="F31">
        <v>38142.67620177897</v>
      </c>
      <c r="G31" s="4">
        <v>11906.37992041745</v>
      </c>
      <c r="H31" s="11">
        <v>9395.998695233875</v>
      </c>
      <c r="I31">
        <v>448.85994826598983</v>
      </c>
      <c r="J31">
        <v>354.22080568903175</v>
      </c>
      <c r="K31" s="21">
        <v>1437.9450161251566</v>
      </c>
      <c r="L31" s="13">
        <v>-35.49439145893385</v>
      </c>
      <c r="M31" s="9"/>
      <c r="N31" s="10"/>
      <c r="O31" s="10">
        <v>131.21935613984618</v>
      </c>
      <c r="P31" s="10">
        <v>470.9744805394291</v>
      </c>
      <c r="Q31" s="11">
        <v>1598.3734951313543</v>
      </c>
      <c r="R31" s="10">
        <v>93.57218695552001</v>
      </c>
      <c r="S31" s="9">
        <v>355.7492707374399</v>
      </c>
      <c r="T31" s="10">
        <v>355.11882326622117</v>
      </c>
      <c r="U31" s="10">
        <v>134551.6598806213</v>
      </c>
      <c r="V31" s="10">
        <v>378.22047983881026</v>
      </c>
      <c r="W31" s="11">
        <v>342.09768445568136</v>
      </c>
    </row>
    <row r="32" spans="1:23" ht="12.75">
      <c r="A32" s="60">
        <v>0.006999999999999999</v>
      </c>
      <c r="B32" s="9">
        <v>76289.24062525193</v>
      </c>
      <c r="C32" s="10">
        <v>27677.59645375043</v>
      </c>
      <c r="D32" s="10">
        <v>2.756353527761424</v>
      </c>
      <c r="E32" s="11">
        <v>20864.708194374245</v>
      </c>
      <c r="F32">
        <v>38144.620312625964</v>
      </c>
      <c r="G32" s="4">
        <v>13838.798226875215</v>
      </c>
      <c r="H32" s="11">
        <v>10432.354097187123</v>
      </c>
      <c r="I32">
        <v>608.6621358168768</v>
      </c>
      <c r="J32">
        <v>458.8388978791865</v>
      </c>
      <c r="K32" s="21">
        <v>1677.688025273648</v>
      </c>
      <c r="L32" s="13">
        <v>-30.05267012170793</v>
      </c>
      <c r="M32" s="9"/>
      <c r="N32" s="10"/>
      <c r="O32" s="10">
        <v>153.08924882982055</v>
      </c>
      <c r="P32" s="10">
        <v>641.0485985120008</v>
      </c>
      <c r="Q32" s="11">
        <v>1598.3734951313543</v>
      </c>
      <c r="R32" s="10">
        <v>91.53836119889328</v>
      </c>
      <c r="S32" s="9">
        <v>461.1360603174206</v>
      </c>
      <c r="T32" s="10">
        <v>460.17224675415713</v>
      </c>
      <c r="U32" s="10">
        <v>153572.81243655697</v>
      </c>
      <c r="V32" s="10">
        <v>333.0314535168777</v>
      </c>
      <c r="W32" s="11">
        <v>447.5940791048743</v>
      </c>
    </row>
    <row r="33" spans="1:23" ht="12.75">
      <c r="A33" s="60">
        <v>0.008</v>
      </c>
      <c r="B33" s="9">
        <v>76293.72751728722</v>
      </c>
      <c r="C33" s="10">
        <v>31332.608488574464</v>
      </c>
      <c r="D33" s="10">
        <v>2.434962526184432</v>
      </c>
      <c r="E33" s="11">
        <v>22596.47131477572</v>
      </c>
      <c r="F33">
        <v>38146.86375864361</v>
      </c>
      <c r="G33" s="4">
        <v>15666.304244287232</v>
      </c>
      <c r="H33" s="11">
        <v>11298.23565738786</v>
      </c>
      <c r="I33">
        <v>787.4743411640859</v>
      </c>
      <c r="J33">
        <v>567.9112662364157</v>
      </c>
      <c r="K33" s="21">
        <v>1917.4705110663278</v>
      </c>
      <c r="L33" s="13">
        <v>-23.360274563127103</v>
      </c>
      <c r="M33" s="9"/>
      <c r="N33" s="10"/>
      <c r="O33" s="10">
        <v>174.9591415197949</v>
      </c>
      <c r="P33" s="10">
        <v>837.2879654034297</v>
      </c>
      <c r="Q33" s="11">
        <v>1598.3734951313543</v>
      </c>
      <c r="R33" s="10">
        <v>89.34876560933775</v>
      </c>
      <c r="S33" s="9">
        <v>571.120604600024</v>
      </c>
      <c r="T33" s="10">
        <v>569.7338860154249</v>
      </c>
      <c r="U33" s="10">
        <v>171323.62325608227</v>
      </c>
      <c r="V33" s="10">
        <v>299.9780114325693</v>
      </c>
      <c r="W33" s="11">
        <v>557.6961563257083</v>
      </c>
    </row>
    <row r="34" spans="1:23" ht="12.75">
      <c r="A34" s="60">
        <v>0.009</v>
      </c>
      <c r="B34" s="9">
        <v>76298.81328650763</v>
      </c>
      <c r="C34" s="10">
        <v>34486.70309519509</v>
      </c>
      <c r="D34" s="10">
        <v>2.2124125079714627</v>
      </c>
      <c r="E34" s="11">
        <v>23944.294794770838</v>
      </c>
      <c r="F34">
        <v>38149.40664325382</v>
      </c>
      <c r="G34" s="4">
        <v>17243.351547597544</v>
      </c>
      <c r="H34" s="11">
        <v>11972.147397385419</v>
      </c>
      <c r="I34">
        <v>975.0885578135753</v>
      </c>
      <c r="J34">
        <v>677.0089856037639</v>
      </c>
      <c r="K34" s="21">
        <v>2157.298121686605</v>
      </c>
      <c r="L34" s="13">
        <v>-15.730823379392234</v>
      </c>
      <c r="M34" s="9"/>
      <c r="N34" s="10"/>
      <c r="O34" s="10">
        <v>196.82903420976925</v>
      </c>
      <c r="P34" s="10">
        <v>1059.6925812137154</v>
      </c>
      <c r="Q34" s="11">
        <v>1598.3734951313543</v>
      </c>
      <c r="R34" s="10">
        <v>87.04763273693271</v>
      </c>
      <c r="S34" s="9">
        <v>681.2079051776503</v>
      </c>
      <c r="T34" s="10">
        <v>679.3223734103939</v>
      </c>
      <c r="U34" s="10">
        <v>187787.6946006502</v>
      </c>
      <c r="V34" s="10">
        <v>275.6686955235455</v>
      </c>
      <c r="W34" s="11">
        <v>667.9061243942081</v>
      </c>
    </row>
    <row r="35" spans="1:23" ht="12.75">
      <c r="A35" s="60">
        <v>0.01</v>
      </c>
      <c r="B35" s="9">
        <v>76304.49816740633</v>
      </c>
      <c r="C35" s="10">
        <v>36851.49877440785</v>
      </c>
      <c r="D35" s="10">
        <v>2.070594160484927</v>
      </c>
      <c r="E35" s="11">
        <v>24897.396842099446</v>
      </c>
      <c r="F35">
        <v>38152.249083703166</v>
      </c>
      <c r="G35" s="4">
        <v>18425.749387203927</v>
      </c>
      <c r="H35" s="11">
        <v>12448.698421049723</v>
      </c>
      <c r="I35">
        <v>1157.7239782345298</v>
      </c>
      <c r="J35">
        <v>782.1747901264938</v>
      </c>
      <c r="K35" s="21">
        <v>2397.1765087857957</v>
      </c>
      <c r="L35" s="13">
        <v>-7.539957732999244</v>
      </c>
      <c r="M35" s="9"/>
      <c r="N35" s="10"/>
      <c r="O35" s="10">
        <v>218.69892689974364</v>
      </c>
      <c r="P35" s="10">
        <v>1308.262445942859</v>
      </c>
      <c r="Q35" s="11">
        <v>1598.3734951313543</v>
      </c>
      <c r="R35" s="10">
        <v>84.67497296396768</v>
      </c>
      <c r="S35" s="9">
        <v>787.3587026428465</v>
      </c>
      <c r="T35" s="10">
        <v>784.9241910962139</v>
      </c>
      <c r="U35" s="10">
        <v>202980.8560712957</v>
      </c>
      <c r="V35" s="10">
        <v>257.79972379802314</v>
      </c>
      <c r="W35" s="11">
        <v>774.1883842582827</v>
      </c>
    </row>
    <row r="36" spans="1:23" ht="12.75">
      <c r="A36" s="60">
        <v>0.011</v>
      </c>
      <c r="B36" s="9">
        <v>76310.78242215277</v>
      </c>
      <c r="C36" s="10">
        <v>38239.86767911635</v>
      </c>
      <c r="D36" s="10">
        <v>1.9955817593957748</v>
      </c>
      <c r="E36" s="11">
        <v>25474.98081920815</v>
      </c>
      <c r="F36">
        <v>38155.391211076385</v>
      </c>
      <c r="G36" s="4">
        <v>19119.933839558176</v>
      </c>
      <c r="H36" s="11">
        <v>12737.490409604075</v>
      </c>
      <c r="I36">
        <v>1321.4749611245345</v>
      </c>
      <c r="J36">
        <v>880.3521385116168</v>
      </c>
      <c r="K36" s="21">
        <v>2637.1113279183664</v>
      </c>
      <c r="L36" s="13">
        <v>0.7881063269494614</v>
      </c>
      <c r="M36" s="9"/>
      <c r="N36" s="10"/>
      <c r="O36" s="10">
        <v>240.56881958971795</v>
      </c>
      <c r="P36" s="10">
        <v>1582.9975595908584</v>
      </c>
      <c r="Q36" s="11">
        <v>1598.3734951313543</v>
      </c>
      <c r="R36" s="10">
        <v>82.26571449994418</v>
      </c>
      <c r="S36" s="9">
        <v>886.4389259958011</v>
      </c>
      <c r="T36" s="10">
        <v>883.4373088172929</v>
      </c>
      <c r="U36" s="10">
        <v>216943.847607101</v>
      </c>
      <c r="V36" s="10">
        <v>244.73637296939773</v>
      </c>
      <c r="W36" s="11">
        <v>873.4156408756502</v>
      </c>
    </row>
    <row r="37" spans="1:23" ht="12.75">
      <c r="A37" s="60">
        <v>0.012</v>
      </c>
      <c r="B37" s="9">
        <v>76317.66634062173</v>
      </c>
      <c r="C37" s="10">
        <v>38636.377286783376</v>
      </c>
      <c r="D37" s="10">
        <v>1.9752800779986264</v>
      </c>
      <c r="E37" s="11">
        <v>25719.000523816143</v>
      </c>
      <c r="F37">
        <v>38158.83317031086</v>
      </c>
      <c r="G37" s="4">
        <v>19318.188643391688</v>
      </c>
      <c r="H37" s="11">
        <v>12859.500261908071</v>
      </c>
      <c r="I37">
        <v>1456.5571085457864</v>
      </c>
      <c r="J37">
        <v>969.5834772395132</v>
      </c>
      <c r="K37" s="21">
        <v>2877.108238977771</v>
      </c>
      <c r="L37" s="13">
        <v>8.850198029893505</v>
      </c>
      <c r="M37" s="9"/>
      <c r="N37" s="10"/>
      <c r="O37" s="10">
        <v>262.43871227969237</v>
      </c>
      <c r="P37" s="10">
        <v>1883.8979221577165</v>
      </c>
      <c r="Q37" s="11">
        <v>1598.3734951313543</v>
      </c>
      <c r="R37" s="10">
        <v>79.84938508891442</v>
      </c>
      <c r="S37" s="9">
        <v>976.4343737460453</v>
      </c>
      <c r="T37" s="10">
        <v>972.8786628964264</v>
      </c>
      <c r="U37" s="10">
        <v>229735.32371662438</v>
      </c>
      <c r="V37" s="10">
        <v>235.27984050300827</v>
      </c>
      <c r="W37" s="11">
        <v>963.579932683496</v>
      </c>
    </row>
    <row r="38" spans="1:23" ht="12.75">
      <c r="A38" s="60">
        <v>0.013</v>
      </c>
      <c r="B38" s="9">
        <v>76325.15024042611</v>
      </c>
      <c r="C38" s="10">
        <v>38187.40473545836</v>
      </c>
      <c r="D38" s="10">
        <v>1.9986995913748387</v>
      </c>
      <c r="E38" s="11">
        <v>25684.3931131186</v>
      </c>
      <c r="F38">
        <v>38162.575120213056</v>
      </c>
      <c r="G38" s="4">
        <v>19093.70236772918</v>
      </c>
      <c r="H38" s="11">
        <v>12842.1965565593</v>
      </c>
      <c r="I38">
        <v>1559.6005122954887</v>
      </c>
      <c r="J38">
        <v>1048.9687093091181</v>
      </c>
      <c r="K38" s="21">
        <v>3117.1729066329785</v>
      </c>
      <c r="L38" s="13">
        <v>16.340431216293545</v>
      </c>
      <c r="M38" s="9"/>
      <c r="N38" s="10"/>
      <c r="O38" s="10">
        <v>284.3086049696667</v>
      </c>
      <c r="P38" s="10">
        <v>2210.963533643431</v>
      </c>
      <c r="Q38" s="11">
        <v>1598.3734951313543</v>
      </c>
      <c r="R38" s="10">
        <v>77.45020232580161</v>
      </c>
      <c r="S38" s="9">
        <v>1056.4160856208578</v>
      </c>
      <c r="T38" s="10">
        <v>1052.3439297442328</v>
      </c>
      <c r="U38" s="10">
        <v>241425.67230323105</v>
      </c>
      <c r="V38" s="10">
        <v>228.53274915948035</v>
      </c>
      <c r="W38" s="11">
        <v>1043.7554206205775</v>
      </c>
    </row>
    <row r="39" spans="1:23" ht="12.75">
      <c r="A39" s="60">
        <v>0.014</v>
      </c>
      <c r="B39" s="9">
        <v>76333.2344669536</v>
      </c>
      <c r="C39" s="10">
        <v>37125.4286406871</v>
      </c>
      <c r="D39" s="10">
        <v>2.056090320349794</v>
      </c>
      <c r="E39" s="11">
        <v>25429.76956416903</v>
      </c>
      <c r="F39">
        <v>38166.6172334768</v>
      </c>
      <c r="G39" s="4">
        <v>18562.71432034355</v>
      </c>
      <c r="H39" s="11">
        <v>12714.884782084515</v>
      </c>
      <c r="I39">
        <v>1632.8616343053657</v>
      </c>
      <c r="J39">
        <v>1118.459681433847</v>
      </c>
      <c r="K39" s="21">
        <v>3357.3110007658</v>
      </c>
      <c r="L39" s="13">
        <v>23.086236697259004</v>
      </c>
      <c r="M39" s="9"/>
      <c r="N39" s="10"/>
      <c r="O39" s="10">
        <v>306.1784976596411</v>
      </c>
      <c r="P39" s="10">
        <v>2564.1943940480032</v>
      </c>
      <c r="Q39" s="11">
        <v>1598.3734951313543</v>
      </c>
      <c r="R39" s="10">
        <v>75.0874393066475</v>
      </c>
      <c r="S39" s="9">
        <v>1126.3325351285632</v>
      </c>
      <c r="T39" s="10">
        <v>1121.797233182631</v>
      </c>
      <c r="U39" s="10">
        <v>252091.886003542</v>
      </c>
      <c r="V39" s="10">
        <v>223.81657116454252</v>
      </c>
      <c r="W39" s="11">
        <v>1113.8897872909092</v>
      </c>
    </row>
    <row r="40" spans="1:23" ht="12.75">
      <c r="A40" s="60">
        <v>0.015</v>
      </c>
      <c r="B40" s="9">
        <v>76341.91939340445</v>
      </c>
      <c r="C40" s="10">
        <v>35686.4324263614</v>
      </c>
      <c r="D40" s="10">
        <v>2.1392421209639</v>
      </c>
      <c r="E40" s="11">
        <v>25010.509272286185</v>
      </c>
      <c r="F40">
        <v>38170.95969670222</v>
      </c>
      <c r="G40" s="4">
        <v>17843.2162131807</v>
      </c>
      <c r="H40" s="11">
        <v>12505.254636143092</v>
      </c>
      <c r="I40">
        <v>1681.6835091522832</v>
      </c>
      <c r="J40">
        <v>1178.5924828853051</v>
      </c>
      <c r="K40" s="21">
        <v>3597.5281969089533</v>
      </c>
      <c r="L40" s="13">
        <v>29.035794035941453</v>
      </c>
      <c r="M40" s="9"/>
      <c r="N40" s="10"/>
      <c r="O40" s="10">
        <v>328.04839034961543</v>
      </c>
      <c r="P40" s="10">
        <v>2943.5905033714316</v>
      </c>
      <c r="Q40" s="11">
        <v>1598.3734951313543</v>
      </c>
      <c r="R40" s="10">
        <v>72.77595033791796</v>
      </c>
      <c r="S40" s="9">
        <v>1186.7344546490085</v>
      </c>
      <c r="T40" s="10">
        <v>1181.796312697165</v>
      </c>
      <c r="U40" s="10">
        <v>261813.53339750532</v>
      </c>
      <c r="V40" s="10">
        <v>220.61677940827994</v>
      </c>
      <c r="W40" s="11">
        <v>1174.5297504212238</v>
      </c>
    </row>
    <row r="41" spans="1:23" ht="12.75">
      <c r="A41" s="60">
        <v>0.02</v>
      </c>
      <c r="B41" s="9">
        <v>76394.36953903026</v>
      </c>
      <c r="C41" s="10">
        <v>27682.25041683327</v>
      </c>
      <c r="D41" s="10">
        <v>2.7596878284352098</v>
      </c>
      <c r="E41" s="11">
        <v>21833.46247514318</v>
      </c>
      <c r="F41">
        <v>38197.18476951513</v>
      </c>
      <c r="G41" s="4">
        <v>13841.125208416635</v>
      </c>
      <c r="H41" s="11">
        <v>10916.73123757159</v>
      </c>
      <c r="I41">
        <v>1739.327090887128</v>
      </c>
      <c r="J41">
        <v>1371.8369062867666</v>
      </c>
      <c r="K41" s="21">
        <v>4799.999802388827</v>
      </c>
      <c r="L41" s="13">
        <v>48.920251569487974</v>
      </c>
      <c r="M41" s="9"/>
      <c r="N41" s="10"/>
      <c r="O41" s="10">
        <v>437.3978537994873</v>
      </c>
      <c r="P41" s="10">
        <v>5233.049783771436</v>
      </c>
      <c r="Q41" s="11">
        <v>1598.3734951313543</v>
      </c>
      <c r="R41" s="10">
        <v>62.27261549633807</v>
      </c>
      <c r="S41" s="9">
        <v>1379.8551510004233</v>
      </c>
      <c r="T41" s="10">
        <v>1373.706635480744</v>
      </c>
      <c r="U41" s="10">
        <v>298908.54207665764</v>
      </c>
      <c r="V41" s="10">
        <v>216.6231302321432</v>
      </c>
      <c r="W41" s="11">
        <v>1368.9362217985176</v>
      </c>
    </row>
    <row r="42" spans="1:23" ht="12.75">
      <c r="A42" s="60">
        <v>0.03</v>
      </c>
      <c r="B42" s="9">
        <v>76544.61674231838</v>
      </c>
      <c r="C42" s="10">
        <v>17892.912612510303</v>
      </c>
      <c r="D42" s="10">
        <v>4.277929390254792</v>
      </c>
      <c r="E42" s="11">
        <v>15997.070176444713</v>
      </c>
      <c r="F42">
        <v>38272.30837115919</v>
      </c>
      <c r="G42" s="4">
        <v>8946.456306255152</v>
      </c>
      <c r="H42" s="11">
        <v>7998.5350882223565</v>
      </c>
      <c r="I42">
        <v>1686.3672844435955</v>
      </c>
      <c r="J42">
        <v>1507.688344358376</v>
      </c>
      <c r="K42" s="21">
        <v>7214.160168885411</v>
      </c>
      <c r="L42" s="13">
        <v>65.15605235084864</v>
      </c>
      <c r="M42" s="9"/>
      <c r="N42" s="10"/>
      <c r="O42" s="10">
        <v>656.0967806992309</v>
      </c>
      <c r="P42" s="10">
        <v>11774.362013485726</v>
      </c>
      <c r="Q42" s="11">
        <v>1598.3734951313543</v>
      </c>
      <c r="R42" s="10">
        <v>46.87330414481833</v>
      </c>
      <c r="S42" s="9">
        <v>1513.978133073138</v>
      </c>
      <c r="T42" s="10">
        <v>1507.2750874906153</v>
      </c>
      <c r="U42" s="10">
        <v>338151.5237455994</v>
      </c>
      <c r="V42" s="10">
        <v>223.35297740344797</v>
      </c>
      <c r="W42" s="11">
        <v>1504.9420075871385</v>
      </c>
    </row>
    <row r="43" spans="1:23" ht="12.75">
      <c r="A43" s="60">
        <v>0.04</v>
      </c>
      <c r="B43" s="9">
        <v>76755.93764430938</v>
      </c>
      <c r="C43" s="10">
        <v>13144.382774223393</v>
      </c>
      <c r="D43" s="10">
        <v>5.83944784344158</v>
      </c>
      <c r="E43" s="11">
        <v>12329.753238936237</v>
      </c>
      <c r="F43">
        <v>38377.96882215469</v>
      </c>
      <c r="G43" s="4">
        <v>6572.191387111697</v>
      </c>
      <c r="H43" s="11">
        <v>6164.876619468118</v>
      </c>
      <c r="I43">
        <v>1651.7718543788976</v>
      </c>
      <c r="J43">
        <v>1549.4024878406797</v>
      </c>
      <c r="K43" s="21">
        <v>9645.435592910344</v>
      </c>
      <c r="L43" s="13">
        <v>71.76383494971867</v>
      </c>
      <c r="M43" s="9"/>
      <c r="N43" s="10"/>
      <c r="O43" s="10">
        <v>874.7957075989746</v>
      </c>
      <c r="P43" s="10">
        <v>20932.199135085742</v>
      </c>
      <c r="Q43" s="11"/>
      <c r="R43" s="10">
        <v>36.98145898254418</v>
      </c>
      <c r="S43" s="9">
        <v>1554.6251627042338</v>
      </c>
      <c r="T43" s="10">
        <v>1547.8938498129146</v>
      </c>
      <c r="U43" s="10">
        <v>356702.28074798465</v>
      </c>
      <c r="V43" s="10">
        <v>229.445842834236</v>
      </c>
      <c r="W43" s="11">
        <v>1546.544756487068</v>
      </c>
    </row>
    <row r="44" spans="1:23" ht="12.75">
      <c r="A44" s="60">
        <v>0.05</v>
      </c>
      <c r="B44" s="9">
        <v>77029.32035809271</v>
      </c>
      <c r="C44" s="10">
        <v>10399.577351807755</v>
      </c>
      <c r="D44" s="10">
        <v>7.40696643260245</v>
      </c>
      <c r="E44" s="11">
        <v>9975.642206193523</v>
      </c>
      <c r="F44">
        <v>38514.660179046354</v>
      </c>
      <c r="G44" s="4">
        <v>5199.788675903877</v>
      </c>
      <c r="H44" s="11">
        <v>4987.821103096761</v>
      </c>
      <c r="I44">
        <v>1633.5617904439018</v>
      </c>
      <c r="J44">
        <v>1566.9702134908894</v>
      </c>
      <c r="K44" s="21">
        <v>12099.737347399938</v>
      </c>
      <c r="L44" s="13">
        <v>75.28811854944028</v>
      </c>
      <c r="M44" s="9"/>
      <c r="N44" s="10"/>
      <c r="O44" s="10">
        <v>1093.4946344987181</v>
      </c>
      <c r="P44" s="10">
        <v>32706.56114857147</v>
      </c>
      <c r="Q44" s="11"/>
      <c r="R44" s="10">
        <v>30.346411383150457</v>
      </c>
      <c r="S44" s="9">
        <v>1571.6145197154467</v>
      </c>
      <c r="T44" s="10">
        <v>1564.922344135466</v>
      </c>
      <c r="U44" s="10">
        <v>367183.60717226786</v>
      </c>
      <c r="V44" s="10">
        <v>233.6346493151197</v>
      </c>
      <c r="W44" s="11">
        <v>1564.0490149317</v>
      </c>
    </row>
    <row r="45" spans="1:23" ht="12.75">
      <c r="A45" s="60">
        <v>0.06</v>
      </c>
      <c r="B45" s="9">
        <v>77366.0546186792</v>
      </c>
      <c r="C45" s="10">
        <v>8611.146136499985</v>
      </c>
      <c r="D45" s="10">
        <v>8.984408508728983</v>
      </c>
      <c r="E45" s="11">
        <v>8360.781914427289</v>
      </c>
      <c r="F45">
        <v>38683.0273093396</v>
      </c>
      <c r="G45" s="4">
        <v>4305.5730682499925</v>
      </c>
      <c r="H45" s="11">
        <v>4180.3909572136445</v>
      </c>
      <c r="I45">
        <v>1623.1628064849888</v>
      </c>
      <c r="J45">
        <v>1575.9702624378717</v>
      </c>
      <c r="K45" s="21">
        <v>14583.157729636156</v>
      </c>
      <c r="L45" s="13">
        <v>77.44275173528855</v>
      </c>
      <c r="M45" s="9"/>
      <c r="N45" s="10"/>
      <c r="O45" s="10">
        <v>1312.1935613984617</v>
      </c>
      <c r="P45" s="10">
        <v>47097.448053942906</v>
      </c>
      <c r="Q45" s="11"/>
      <c r="R45" s="10">
        <v>25.65735889912443</v>
      </c>
      <c r="S45" s="9">
        <v>1580.2790663063383</v>
      </c>
      <c r="T45" s="10">
        <v>1573.6354390260406</v>
      </c>
      <c r="U45" s="10">
        <v>374165.31175181584</v>
      </c>
      <c r="V45" s="10">
        <v>236.77166883338523</v>
      </c>
      <c r="W45" s="11">
        <v>1573.0254276874703</v>
      </c>
    </row>
    <row r="46" spans="1:23" ht="12.75">
      <c r="A46" s="60">
        <v>0.07</v>
      </c>
      <c r="B46" s="9">
        <v>77767.74681441915</v>
      </c>
      <c r="C46" s="10">
        <v>7351.745162629481</v>
      </c>
      <c r="D46" s="10">
        <v>10.578134183666947</v>
      </c>
      <c r="E46" s="11">
        <v>7190.157223390866</v>
      </c>
      <c r="F46">
        <v>38883.873407209576</v>
      </c>
      <c r="G46" s="4">
        <v>3675.8725813147403</v>
      </c>
      <c r="H46" s="11">
        <v>3595.078611695433</v>
      </c>
      <c r="I46">
        <v>1616.7332015786756</v>
      </c>
      <c r="J46">
        <v>1581.1981577812242</v>
      </c>
      <c r="K46" s="21">
        <v>17102.02074548872</v>
      </c>
      <c r="L46" s="13">
        <v>78.86440359480115</v>
      </c>
      <c r="M46" s="9"/>
      <c r="N46" s="10"/>
      <c r="O46" s="10">
        <v>1530.8924882982058</v>
      </c>
      <c r="P46" s="10">
        <v>64104.85985120009</v>
      </c>
      <c r="Q46" s="11"/>
      <c r="R46" s="10">
        <v>22.192025725695064</v>
      </c>
      <c r="S46" s="9">
        <v>1585.2978806853114</v>
      </c>
      <c r="T46" s="10">
        <v>1578.704690497959</v>
      </c>
      <c r="U46" s="10">
        <v>379528.48434525623</v>
      </c>
      <c r="V46" s="10">
        <v>239.40515468372973</v>
      </c>
      <c r="W46" s="11">
        <v>1578.255005815123</v>
      </c>
    </row>
    <row r="47" spans="1:23" ht="12.75">
      <c r="A47" s="60">
        <v>0.08</v>
      </c>
      <c r="B47" s="9">
        <v>78236.33899616945</v>
      </c>
      <c r="C47" s="10">
        <v>6415.92989120707</v>
      </c>
      <c r="D47" s="10">
        <v>12.194076357254342</v>
      </c>
      <c r="E47" s="11">
        <v>6304.5561722061175</v>
      </c>
      <c r="F47">
        <v>39118.169498084724</v>
      </c>
      <c r="G47" s="4">
        <v>3207.964945603535</v>
      </c>
      <c r="H47" s="11">
        <v>3152.2780861030587</v>
      </c>
      <c r="I47">
        <v>1612.4990569730635</v>
      </c>
      <c r="J47">
        <v>1584.5077883797514</v>
      </c>
      <c r="K47" s="21">
        <v>19662.93662673013</v>
      </c>
      <c r="L47" s="13">
        <v>79.84482028777093</v>
      </c>
      <c r="M47" s="9"/>
      <c r="N47" s="10">
        <v>748824.0072473675</v>
      </c>
      <c r="O47" s="10">
        <v>1749.5914151979491</v>
      </c>
      <c r="P47" s="10">
        <v>83728.79654034297</v>
      </c>
      <c r="Q47" s="11"/>
      <c r="R47" s="10">
        <v>19.53662040157811</v>
      </c>
      <c r="S47" s="9">
        <v>1588.4693566047129</v>
      </c>
      <c r="T47" s="10">
        <v>1581.9283941183444</v>
      </c>
      <c r="U47" s="10">
        <v>384147.3288567128</v>
      </c>
      <c r="V47" s="10">
        <v>241.83490053456939</v>
      </c>
      <c r="W47" s="11">
        <v>1581.5833666973613</v>
      </c>
    </row>
    <row r="48" spans="1:23" ht="12.75">
      <c r="A48" s="60">
        <v>0.09</v>
      </c>
      <c r="B48" s="9">
        <v>78774.13227925476</v>
      </c>
      <c r="C48" s="10">
        <v>5692.686680285631</v>
      </c>
      <c r="D48" s="10">
        <v>13.837777608955284</v>
      </c>
      <c r="E48" s="11">
        <v>5611.9369273443845</v>
      </c>
      <c r="F48">
        <v>39387.06613962738</v>
      </c>
      <c r="G48" s="4">
        <v>2846.3433401428156</v>
      </c>
      <c r="H48" s="11">
        <v>2805.9684636721922</v>
      </c>
      <c r="I48">
        <v>1609.5692388576426</v>
      </c>
      <c r="J48">
        <v>1586.7377841019004</v>
      </c>
      <c r="K48" s="21">
        <v>22272.861173527563</v>
      </c>
      <c r="L48" s="13">
        <v>80.53702052499835</v>
      </c>
      <c r="M48" s="9"/>
      <c r="N48" s="10">
        <v>665621.3397754378</v>
      </c>
      <c r="O48" s="10">
        <v>1968.2903420976927</v>
      </c>
      <c r="P48" s="10">
        <v>105969.25812137156</v>
      </c>
      <c r="Q48" s="11"/>
      <c r="R48" s="10">
        <v>17.44151839657863</v>
      </c>
      <c r="S48" s="9">
        <v>1590.6037331389798</v>
      </c>
      <c r="T48" s="10">
        <v>1584.117642595247</v>
      </c>
      <c r="U48" s="10">
        <v>388472.517902524</v>
      </c>
      <c r="V48" s="10">
        <v>244.2296027659215</v>
      </c>
      <c r="W48" s="11">
        <v>1583.8446323183048</v>
      </c>
    </row>
    <row r="49" spans="1:23" ht="12.75">
      <c r="A49" s="60">
        <v>0.1</v>
      </c>
      <c r="B49" s="9">
        <v>79383.81516049188</v>
      </c>
      <c r="C49" s="10">
        <v>5116.705457543254</v>
      </c>
      <c r="D49" s="10">
        <v>15.514634527860304</v>
      </c>
      <c r="E49" s="11">
        <v>5055.756987169728</v>
      </c>
      <c r="F49">
        <v>39691.90758024594</v>
      </c>
      <c r="G49" s="4">
        <v>2558.352728771627</v>
      </c>
      <c r="H49" s="11">
        <v>2527.878493584864</v>
      </c>
      <c r="I49">
        <v>1607.4604276000687</v>
      </c>
      <c r="J49">
        <v>1588.312900922768</v>
      </c>
      <c r="K49" s="21">
        <v>24939.161052213134</v>
      </c>
      <c r="L49" s="13">
        <v>81.02910627540047</v>
      </c>
      <c r="M49" s="9">
        <v>23962.36823191576</v>
      </c>
      <c r="N49" s="10">
        <v>599059.205797894</v>
      </c>
      <c r="O49" s="10">
        <v>2186.9892689974363</v>
      </c>
      <c r="P49" s="10">
        <v>130826.24459428588</v>
      </c>
      <c r="Q49" s="11"/>
      <c r="R49" s="10">
        <v>15.748667429199973</v>
      </c>
      <c r="S49" s="9">
        <v>1592.1101921784461</v>
      </c>
      <c r="T49" s="10">
        <v>1585.6823740980026</v>
      </c>
      <c r="U49" s="10">
        <v>392758.553374562</v>
      </c>
      <c r="V49" s="10">
        <v>246.69055904802647</v>
      </c>
      <c r="W49" s="11">
        <v>1585.4610064691383</v>
      </c>
    </row>
    <row r="50" spans="1:23" ht="12.75">
      <c r="A50" s="60">
        <v>0.15</v>
      </c>
      <c r="B50" s="9">
        <v>83636.62787595316</v>
      </c>
      <c r="C50" s="10">
        <v>3400.447757416576</v>
      </c>
      <c r="D50" s="10">
        <v>24.59576909938899</v>
      </c>
      <c r="E50" s="11">
        <v>3378.2714776549124</v>
      </c>
      <c r="F50">
        <v>41818.31393797658</v>
      </c>
      <c r="G50" s="4">
        <v>1700.223878708288</v>
      </c>
      <c r="H50" s="11">
        <v>1689.1357388274562</v>
      </c>
      <c r="I50">
        <v>1602.4232540423704</v>
      </c>
      <c r="J50">
        <v>1591.9729284048951</v>
      </c>
      <c r="K50" s="21">
        <v>39412.832355917664</v>
      </c>
      <c r="L50" s="13">
        <v>81.85623776819561</v>
      </c>
      <c r="M50" s="9">
        <v>35943.55234787364</v>
      </c>
      <c r="N50" s="10">
        <v>399372.8038652627</v>
      </c>
      <c r="O50" s="10">
        <v>3280.4839034961547</v>
      </c>
      <c r="P50" s="10"/>
      <c r="Q50" s="11"/>
      <c r="R50" s="10">
        <v>10.597861323361235</v>
      </c>
      <c r="S50" s="9">
        <v>1595.6097106954667</v>
      </c>
      <c r="T50" s="10">
        <v>1589.5381803960752</v>
      </c>
      <c r="U50" s="10">
        <v>417691.7316689005</v>
      </c>
      <c r="V50" s="10">
        <v>261.77562650132285</v>
      </c>
      <c r="W50" s="11">
        <v>1589.4395440703665</v>
      </c>
    </row>
    <row r="51" spans="1:23" ht="12.75">
      <c r="A51" s="60">
        <v>0.2</v>
      </c>
      <c r="B51" s="9">
        <v>90394.05485502213</v>
      </c>
      <c r="C51" s="10">
        <v>2547.5078717049487</v>
      </c>
      <c r="D51" s="10">
        <v>35.48332700323509</v>
      </c>
      <c r="E51" s="11">
        <v>2535.6960709623527</v>
      </c>
      <c r="F51">
        <v>45197.027427511064</v>
      </c>
      <c r="G51" s="4">
        <v>1273.7539358524743</v>
      </c>
      <c r="H51" s="11">
        <v>1267.8480354811763</v>
      </c>
      <c r="I51">
        <v>1600.6464029420872</v>
      </c>
      <c r="J51">
        <v>1593.2248296543698</v>
      </c>
      <c r="K51" s="21">
        <v>56796.259732146056</v>
      </c>
      <c r="L51" s="13">
        <v>81.28134937972439</v>
      </c>
      <c r="M51" s="9">
        <v>47924.73646383152</v>
      </c>
      <c r="N51" s="10">
        <v>299529.602898947</v>
      </c>
      <c r="O51" s="10">
        <v>4373.978537994873</v>
      </c>
      <c r="P51" s="10"/>
      <c r="Q51" s="11"/>
      <c r="R51" s="10">
        <v>7.995058198438871</v>
      </c>
      <c r="S51" s="9">
        <v>1596.8115201118317</v>
      </c>
      <c r="T51" s="10">
        <v>1591.2170632426255</v>
      </c>
      <c r="U51" s="10">
        <v>454089.4020121576</v>
      </c>
      <c r="V51" s="10">
        <v>284.3725739029961</v>
      </c>
      <c r="W51" s="11">
        <v>1591.161519446047</v>
      </c>
    </row>
    <row r="52" spans="1:23" ht="12.75">
      <c r="A52" s="60">
        <v>0.3</v>
      </c>
      <c r="B52" s="9">
        <v>117137.76590213597</v>
      </c>
      <c r="C52" s="10">
        <v>1696.9874126792013</v>
      </c>
      <c r="D52" s="10">
        <v>69.02689143533428</v>
      </c>
      <c r="E52" s="11">
        <v>1691.3848074903726</v>
      </c>
      <c r="F52">
        <v>58568.882951067986</v>
      </c>
      <c r="G52" s="4">
        <v>848.4937063396006</v>
      </c>
      <c r="H52" s="11">
        <v>845.6924037451863</v>
      </c>
      <c r="I52">
        <v>1599.3729566721988</v>
      </c>
      <c r="J52">
        <v>1594.092625681542</v>
      </c>
      <c r="K52" s="21">
        <v>110399.7434448214</v>
      </c>
      <c r="L52" s="13">
        <v>77.18625955753464</v>
      </c>
      <c r="M52" s="9">
        <v>71887.10469574729</v>
      </c>
      <c r="N52" s="10">
        <v>199686.40193263136</v>
      </c>
      <c r="O52" s="10">
        <v>6560.967806992309</v>
      </c>
      <c r="P52" s="10"/>
      <c r="Q52" s="11"/>
      <c r="R52" s="10">
        <v>5.391008824577024</v>
      </c>
      <c r="S52" s="9">
        <v>1597.6625987150326</v>
      </c>
      <c r="T52" s="10">
        <v>1593.3853963025224</v>
      </c>
      <c r="U52" s="10">
        <v>595165.9911420739</v>
      </c>
      <c r="V52" s="10">
        <v>372.52295423373727</v>
      </c>
      <c r="W52" s="11">
        <v>1593.3606758121252</v>
      </c>
    </row>
    <row r="53" spans="1:23" ht="12.75">
      <c r="A53" s="60">
        <v>0.4</v>
      </c>
      <c r="B53" s="9">
        <v>193612.77363564388</v>
      </c>
      <c r="C53" s="10">
        <v>1272.385257299366</v>
      </c>
      <c r="D53" s="10">
        <v>152.16521295333646</v>
      </c>
      <c r="E53" s="11">
        <v>1268.7577556744468</v>
      </c>
      <c r="F53">
        <v>96806.38681782194</v>
      </c>
      <c r="G53" s="4">
        <v>636.192628649683</v>
      </c>
      <c r="H53" s="11">
        <v>634.3788778372234</v>
      </c>
      <c r="I53">
        <v>1598.9264707470588</v>
      </c>
      <c r="J53">
        <v>1594.368017764761</v>
      </c>
      <c r="K53" s="21">
        <v>243300.98691795295</v>
      </c>
      <c r="L53" s="13">
        <v>64.38059549126079</v>
      </c>
      <c r="M53" s="9">
        <v>95849.47292766304</v>
      </c>
      <c r="N53" s="10">
        <v>149764.8014494735</v>
      </c>
      <c r="O53" s="10">
        <v>8747.957075989745</v>
      </c>
      <c r="P53" s="10"/>
      <c r="Q53" s="11"/>
      <c r="R53" s="10">
        <v>4.099369522994558</v>
      </c>
      <c r="S53" s="9">
        <v>1597.9590734599992</v>
      </c>
      <c r="T53" s="10">
        <v>1595.4430067481624</v>
      </c>
      <c r="U53" s="10">
        <v>997380.6506859555</v>
      </c>
      <c r="V53" s="10">
        <v>624.1590709368827</v>
      </c>
      <c r="W53" s="11">
        <v>1595.429083374045</v>
      </c>
    </row>
    <row r="54" spans="1:23" ht="12.75">
      <c r="A54" s="60">
        <v>0.5</v>
      </c>
      <c r="B54" s="9">
        <v>381372.93522976</v>
      </c>
      <c r="C54" s="10">
        <v>1017.7765919474638</v>
      </c>
      <c r="D54" s="10">
        <v>374.7118358263897</v>
      </c>
      <c r="E54" s="11">
        <v>1015.068397591275</v>
      </c>
      <c r="F54">
        <v>190686.46761488</v>
      </c>
      <c r="G54" s="4">
        <v>508.8882959737319</v>
      </c>
      <c r="H54" s="11">
        <v>507.5341987956375</v>
      </c>
      <c r="I54">
        <v>1598.7197321289043</v>
      </c>
      <c r="J54">
        <v>1594.4657103819532</v>
      </c>
      <c r="K54" s="21">
        <v>599059.205797895</v>
      </c>
      <c r="L54" s="13">
        <v>-1.3377316208143695</v>
      </c>
      <c r="M54" s="9">
        <v>119811.84115957882</v>
      </c>
      <c r="N54" s="10">
        <v>119811.84115957882</v>
      </c>
      <c r="O54" s="10">
        <v>10934.946344987182</v>
      </c>
      <c r="P54" s="10"/>
      <c r="Q54" s="11"/>
      <c r="R54" s="10">
        <v>3.3347939346814464</v>
      </c>
      <c r="S54" s="9">
        <v>1598.0961087057328</v>
      </c>
      <c r="T54" s="10">
        <v>1597.7181666373492</v>
      </c>
      <c r="U54" s="10">
        <v>1997739.0060099063</v>
      </c>
      <c r="V54" s="10">
        <v>1250.0743823397675</v>
      </c>
      <c r="W54" s="11">
        <v>1597.7092429285112</v>
      </c>
    </row>
    <row r="55" spans="1:23" ht="12.75">
      <c r="A55" s="60">
        <v>0.6</v>
      </c>
      <c r="B55" s="9">
        <v>152184.36884889548</v>
      </c>
      <c r="C55" s="10">
        <v>848.0875990322487</v>
      </c>
      <c r="D55" s="10">
        <v>179.44416239849892</v>
      </c>
      <c r="E55" s="11">
        <v>845.9018337444413</v>
      </c>
      <c r="F55">
        <v>76092.18442444774</v>
      </c>
      <c r="G55" s="4">
        <v>424.04379951612435</v>
      </c>
      <c r="H55" s="11">
        <v>422.95091687222066</v>
      </c>
      <c r="I55">
        <v>1598.6074624321911</v>
      </c>
      <c r="J55">
        <v>1594.4873919298045</v>
      </c>
      <c r="K55" s="21">
        <v>286860.77710013365</v>
      </c>
      <c r="L55" s="13">
        <v>-62.51690829214167</v>
      </c>
      <c r="M55" s="9">
        <v>143774.20939149457</v>
      </c>
      <c r="N55" s="10">
        <v>99843.20096631568</v>
      </c>
      <c r="O55" s="10">
        <v>13121.935613984619</v>
      </c>
      <c r="P55" s="10"/>
      <c r="Q55" s="11"/>
      <c r="R55" s="10">
        <v>2.83382124759129</v>
      </c>
      <c r="S55" s="9">
        <v>1598.1705508319203</v>
      </c>
      <c r="T55" s="10">
        <v>1600.231307371736</v>
      </c>
      <c r="U55" s="10">
        <v>812912.165246909</v>
      </c>
      <c r="V55" s="10">
        <v>508.65169854603505</v>
      </c>
      <c r="W55" s="11">
        <v>1600.2251005881778</v>
      </c>
    </row>
    <row r="56" spans="1:23" ht="12.75">
      <c r="A56" s="60">
        <v>0.7</v>
      </c>
      <c r="B56" s="9">
        <v>76274.5870459521</v>
      </c>
      <c r="C56" s="10">
        <v>726.9014728064866</v>
      </c>
      <c r="D56" s="10">
        <v>104.93112189120261</v>
      </c>
      <c r="E56" s="11">
        <v>725.0498124807443</v>
      </c>
      <c r="F56">
        <v>38137.29352297605</v>
      </c>
      <c r="G56" s="4">
        <v>363.4507364032433</v>
      </c>
      <c r="H56" s="11">
        <v>362.52490624037216</v>
      </c>
      <c r="I56">
        <v>1598.5398287967214</v>
      </c>
      <c r="J56">
        <v>1594.4678150633185</v>
      </c>
      <c r="K56" s="21">
        <v>167736.57762341082</v>
      </c>
      <c r="L56" s="13">
        <v>-74.71893190253236</v>
      </c>
      <c r="M56" s="9">
        <v>167736.57762341035</v>
      </c>
      <c r="N56" s="10">
        <v>85579.8865425563</v>
      </c>
      <c r="O56" s="10">
        <v>15308.924882982054</v>
      </c>
      <c r="P56" s="10"/>
      <c r="Q56" s="11"/>
      <c r="R56" s="10">
        <v>2.483195628341052</v>
      </c>
      <c r="S56" s="9">
        <v>1598.21548846222</v>
      </c>
      <c r="T56" s="10">
        <v>1602.9366739186241</v>
      </c>
      <c r="U56" s="10">
        <v>416522.7362673435</v>
      </c>
      <c r="V56" s="10">
        <v>260.617381870148</v>
      </c>
      <c r="W56" s="11">
        <v>1602.932106116369</v>
      </c>
    </row>
    <row r="57" spans="1:23" ht="12.75">
      <c r="A57" s="60">
        <v>0.8</v>
      </c>
      <c r="B57" s="9">
        <v>47896.66119264684</v>
      </c>
      <c r="C57" s="10">
        <v>636.0213512173459</v>
      </c>
      <c r="D57" s="10">
        <v>75.3066875836362</v>
      </c>
      <c r="E57" s="11">
        <v>634.4001492364654</v>
      </c>
      <c r="F57">
        <v>23948.33059632342</v>
      </c>
      <c r="G57" s="4">
        <v>318.01067560867295</v>
      </c>
      <c r="H57" s="11">
        <v>317.2000746182327</v>
      </c>
      <c r="I57">
        <v>1598.496003608534</v>
      </c>
      <c r="J57">
        <v>1594.4214786220357</v>
      </c>
      <c r="K57" s="21">
        <v>120377.43914743893</v>
      </c>
      <c r="L57" s="13">
        <v>-79.27754402664058</v>
      </c>
      <c r="M57" s="9">
        <v>191698.94585532608</v>
      </c>
      <c r="N57" s="10">
        <v>74882.40072473676</v>
      </c>
      <c r="O57" s="10">
        <v>17495.91415197949</v>
      </c>
      <c r="P57" s="10"/>
      <c r="Q57" s="11"/>
      <c r="R57" s="10">
        <v>2.2261844626853233</v>
      </c>
      <c r="S57" s="9">
        <v>1598.2447222928417</v>
      </c>
      <c r="T57" s="10">
        <v>1605.772077787837</v>
      </c>
      <c r="U57" s="10">
        <v>267982.3846878763</v>
      </c>
      <c r="V57" s="10">
        <v>167.67293578384476</v>
      </c>
      <c r="W57" s="11">
        <v>1605.7685743745546</v>
      </c>
    </row>
    <row r="58" spans="1:23" ht="12.75">
      <c r="A58" s="60">
        <v>0.9</v>
      </c>
      <c r="B58" s="9">
        <v>33619.739440650366</v>
      </c>
      <c r="C58" s="10">
        <v>565.3417124528587</v>
      </c>
      <c r="D58" s="10">
        <v>59.46799731932706</v>
      </c>
      <c r="E58" s="11">
        <v>563.8878399793937</v>
      </c>
      <c r="F58">
        <v>16809.869720325183</v>
      </c>
      <c r="G58" s="4">
        <v>282.67085622642935</v>
      </c>
      <c r="H58" s="11">
        <v>281.94391998969684</v>
      </c>
      <c r="I58">
        <v>1598.4660335487968</v>
      </c>
      <c r="J58">
        <v>1594.3553059750923</v>
      </c>
      <c r="K58" s="21">
        <v>95057.57379811519</v>
      </c>
      <c r="L58" s="13">
        <v>-81.65599403027736</v>
      </c>
      <c r="M58" s="9">
        <v>215661.31408724186</v>
      </c>
      <c r="N58" s="10">
        <v>66562.13397754378</v>
      </c>
      <c r="O58" s="10">
        <v>19682.903420976927</v>
      </c>
      <c r="P58" s="10"/>
      <c r="Q58" s="11"/>
      <c r="R58" s="10">
        <v>2.031232821135691</v>
      </c>
      <c r="S58" s="9">
        <v>1598.2648394060807</v>
      </c>
      <c r="T58" s="10">
        <v>1608.6748039952615</v>
      </c>
      <c r="U58" s="10">
        <v>193084.06379625938</v>
      </c>
      <c r="V58" s="10">
        <v>120.80855377386011</v>
      </c>
      <c r="W58" s="11">
        <v>1608.6720308604474</v>
      </c>
    </row>
    <row r="59" spans="1:23" ht="12.75">
      <c r="A59" s="60">
        <v>1</v>
      </c>
      <c r="B59" s="9">
        <v>25201.83293099796</v>
      </c>
      <c r="C59" s="10">
        <v>508.8007426187971</v>
      </c>
      <c r="D59" s="10">
        <v>49.53183205135301</v>
      </c>
      <c r="E59" s="11">
        <v>507.4728394564499</v>
      </c>
      <c r="F59">
        <v>12600.91646549898</v>
      </c>
      <c r="G59" s="4">
        <v>254.40037130939854</v>
      </c>
      <c r="H59" s="11">
        <v>253.73641972822494</v>
      </c>
      <c r="I59">
        <v>1598.4446751522441</v>
      </c>
      <c r="J59">
        <v>1594.2729443327412</v>
      </c>
      <c r="K59" s="21">
        <v>79173.89319302051</v>
      </c>
      <c r="L59" s="13">
        <v>-83.12608226536769</v>
      </c>
      <c r="M59" s="9">
        <v>239623.68231915764</v>
      </c>
      <c r="N59" s="10">
        <v>59905.92057978941</v>
      </c>
      <c r="O59" s="10">
        <v>21869.892689974364</v>
      </c>
      <c r="P59" s="10"/>
      <c r="Q59" s="11"/>
      <c r="R59" s="10">
        <v>1.879397480800332</v>
      </c>
      <c r="S59" s="9">
        <v>1598.2793071456977</v>
      </c>
      <c r="T59" s="10">
        <v>1611.5881002497106</v>
      </c>
      <c r="U59" s="10">
        <v>148799.21541211742</v>
      </c>
      <c r="V59" s="10">
        <v>93.09963205233002</v>
      </c>
      <c r="W59" s="11">
        <v>1611.5858499414833</v>
      </c>
    </row>
    <row r="60" spans="1:23" ht="12.75">
      <c r="A60" s="60">
        <v>1.5</v>
      </c>
      <c r="B60" s="9">
        <v>9507.620695531301</v>
      </c>
      <c r="C60" s="10">
        <v>339.1899587102156</v>
      </c>
      <c r="D60" s="10">
        <v>28.030371923993425</v>
      </c>
      <c r="E60" s="11">
        <v>338.18696333196624</v>
      </c>
      <c r="F60">
        <v>4753.8103477656505</v>
      </c>
      <c r="G60" s="4">
        <v>169.5949793551078</v>
      </c>
      <c r="H60" s="11">
        <v>169.09348166598312</v>
      </c>
      <c r="I60">
        <v>1598.395023683158</v>
      </c>
      <c r="J60">
        <v>1593.668519315323</v>
      </c>
      <c r="K60" s="21">
        <v>44803.606995299124</v>
      </c>
      <c r="L60" s="13">
        <v>-86.24914612132963</v>
      </c>
      <c r="M60" s="9">
        <v>359435.52347873646</v>
      </c>
      <c r="N60" s="10">
        <v>39937.28038652627</v>
      </c>
      <c r="O60" s="10"/>
      <c r="P60" s="10"/>
      <c r="Q60" s="11"/>
      <c r="R60" s="10">
        <v>1.4579271712551565</v>
      </c>
      <c r="S60" s="9">
        <v>1598.314503970272</v>
      </c>
      <c r="T60" s="10">
        <v>1624.95275505163</v>
      </c>
      <c r="U60" s="10">
        <v>65320.39600868428</v>
      </c>
      <c r="V60" s="10">
        <v>40.86829960337968</v>
      </c>
      <c r="W60" s="11">
        <v>1624.95174661948</v>
      </c>
    </row>
    <row r="61" spans="1:23" ht="12.75">
      <c r="A61" s="60">
        <v>2</v>
      </c>
      <c r="B61" s="9">
        <v>5077.755900587712</v>
      </c>
      <c r="C61" s="10">
        <v>254.38994800568682</v>
      </c>
      <c r="D61" s="10">
        <v>19.96052100484021</v>
      </c>
      <c r="E61" s="11">
        <v>253.4998299577045</v>
      </c>
      <c r="F61">
        <v>2538.877950293856</v>
      </c>
      <c r="G61" s="4">
        <v>127.19497400284341</v>
      </c>
      <c r="H61" s="11">
        <v>126.74991497885225</v>
      </c>
      <c r="I61">
        <v>1598.3791836035102</v>
      </c>
      <c r="J61">
        <v>1592.7864069627792</v>
      </c>
      <c r="K61" s="21">
        <v>31904.48126801716</v>
      </c>
      <c r="L61" s="13">
        <v>-87.41156753108888</v>
      </c>
      <c r="M61" s="9">
        <v>479247.3646383153</v>
      </c>
      <c r="N61" s="10">
        <v>29952.960289894705</v>
      </c>
      <c r="O61" s="10"/>
      <c r="P61" s="10"/>
      <c r="Q61" s="11"/>
      <c r="R61" s="10">
        <v>1.2779491293008685</v>
      </c>
      <c r="S61" s="9">
        <v>1598.328359759341</v>
      </c>
      <c r="T61" s="10">
        <v>1634.8364187325408</v>
      </c>
      <c r="U61" s="10">
        <v>40772.30405725846</v>
      </c>
      <c r="V61" s="10">
        <v>25.50934156195384</v>
      </c>
      <c r="W61" s="11">
        <v>1634.8358480390027</v>
      </c>
    </row>
    <row r="62" spans="1:23" ht="12.75">
      <c r="A62" s="60">
        <v>3</v>
      </c>
      <c r="B62" s="9">
        <v>2177.994164395978</v>
      </c>
      <c r="C62" s="10">
        <v>169.59256476774317</v>
      </c>
      <c r="D62" s="10">
        <v>12.842509737256059</v>
      </c>
      <c r="E62" s="11">
        <v>168.73053066106132</v>
      </c>
      <c r="F62">
        <v>1088.997082197989</v>
      </c>
      <c r="G62" s="4">
        <v>84.79628238387158</v>
      </c>
      <c r="H62" s="11">
        <v>84.36526533053066</v>
      </c>
      <c r="I62">
        <v>1598.3722667333793</v>
      </c>
      <c r="J62">
        <v>1590.2477866832999</v>
      </c>
      <c r="K62" s="21">
        <v>20527.11139928353</v>
      </c>
      <c r="L62" s="13">
        <v>-88.46165206757821</v>
      </c>
      <c r="M62" s="9">
        <v>718871.0469574729</v>
      </c>
      <c r="N62" s="10">
        <v>19968.640193263134</v>
      </c>
      <c r="O62" s="10"/>
      <c r="P62" s="10"/>
      <c r="Q62" s="11"/>
      <c r="R62" s="10">
        <v>1.1319945526808086</v>
      </c>
      <c r="S62" s="9">
        <v>1598.3426538646352</v>
      </c>
      <c r="T62" s="10">
        <v>1645.128897861763</v>
      </c>
      <c r="U62" s="10">
        <v>23236.578286261185</v>
      </c>
      <c r="V62" s="10">
        <v>14.537920407790757</v>
      </c>
      <c r="W62" s="11">
        <v>1645.1286426232657</v>
      </c>
    </row>
    <row r="63" spans="1:23" ht="12.75">
      <c r="A63" s="60">
        <v>4</v>
      </c>
      <c r="B63" s="9">
        <v>1210.3174671870704</v>
      </c>
      <c r="C63" s="10">
        <v>127.1947208800332</v>
      </c>
      <c r="D63" s="10">
        <v>9.515469343484869</v>
      </c>
      <c r="E63" s="11">
        <v>126.26596084278171</v>
      </c>
      <c r="F63">
        <v>605.1587335935352</v>
      </c>
      <c r="G63" s="4">
        <v>63.5973604400166</v>
      </c>
      <c r="H63" s="11">
        <v>63.132980421390855</v>
      </c>
      <c r="I63">
        <v>1598.3760027684664</v>
      </c>
      <c r="J63">
        <v>1586.7048599285513</v>
      </c>
      <c r="K63" s="21">
        <v>15209.297853705224</v>
      </c>
      <c r="L63" s="13">
        <v>-88.98562574460671</v>
      </c>
      <c r="M63" s="9"/>
      <c r="N63" s="10"/>
      <c r="O63" s="10"/>
      <c r="P63" s="10"/>
      <c r="Q63" s="11"/>
      <c r="R63" s="10">
        <v>1.0762416141151536</v>
      </c>
      <c r="S63" s="9">
        <v>1598.3538136284983</v>
      </c>
      <c r="T63" s="10">
        <v>1647.710108785997</v>
      </c>
      <c r="U63" s="10">
        <v>16368.879271629894</v>
      </c>
      <c r="V63" s="10">
        <v>10.24108625515782</v>
      </c>
      <c r="W63" s="11">
        <v>1647.7099649890567</v>
      </c>
    </row>
    <row r="64" spans="1:23" ht="12.75">
      <c r="A64" s="60">
        <v>5</v>
      </c>
      <c r="B64" s="9">
        <v>770.293203580928</v>
      </c>
      <c r="C64" s="10">
        <v>101.75631683246104</v>
      </c>
      <c r="D64" s="10">
        <v>7.569979216614081</v>
      </c>
      <c r="E64" s="11">
        <v>100.72481991488108</v>
      </c>
      <c r="F64">
        <v>385.146601790464</v>
      </c>
      <c r="G64" s="4">
        <v>50.87815841623052</v>
      </c>
      <c r="H64" s="11">
        <v>50.36240995744054</v>
      </c>
      <c r="I64">
        <v>1598.384487086075</v>
      </c>
      <c r="J64">
        <v>1582.1817713937246</v>
      </c>
      <c r="K64" s="21">
        <v>12099.73734739995</v>
      </c>
      <c r="L64" s="13">
        <v>-89.31995366919654</v>
      </c>
      <c r="M64" s="9"/>
      <c r="N64" s="10"/>
      <c r="O64" s="10"/>
      <c r="P64" s="10"/>
      <c r="Q64" s="11"/>
      <c r="R64" s="10">
        <v>1.0494331922703843</v>
      </c>
      <c r="S64" s="9">
        <v>1598.365734007339</v>
      </c>
      <c r="T64" s="10">
        <v>1646.1479324965667</v>
      </c>
      <c r="U64" s="10">
        <v>12697.865990115126</v>
      </c>
      <c r="V64" s="10">
        <v>7.944280661147371</v>
      </c>
      <c r="W64" s="11">
        <v>1646.1478405537769</v>
      </c>
    </row>
    <row r="65" spans="1:23" ht="12.75">
      <c r="A65" s="60">
        <v>6</v>
      </c>
      <c r="B65" s="9">
        <v>533.3136149691701</v>
      </c>
      <c r="C65" s="10">
        <v>84.7975554055201</v>
      </c>
      <c r="D65" s="10">
        <v>6.289256953443406</v>
      </c>
      <c r="E65" s="11">
        <v>83.64678605543867</v>
      </c>
      <c r="F65">
        <v>266.65680748458504</v>
      </c>
      <c r="G65" s="4">
        <v>42.39877770276005</v>
      </c>
      <c r="H65" s="11">
        <v>41.823393027719334</v>
      </c>
      <c r="I65">
        <v>1598.3962626261323</v>
      </c>
      <c r="J65">
        <v>1576.7047714089745</v>
      </c>
      <c r="K65" s="21">
        <v>10052.724809079362</v>
      </c>
      <c r="L65" s="13">
        <v>-89.56346580159669</v>
      </c>
      <c r="M65" s="9"/>
      <c r="N65" s="10"/>
      <c r="O65" s="10"/>
      <c r="P65" s="10"/>
      <c r="Q65" s="11"/>
      <c r="R65" s="10">
        <v>1.0345793357033926</v>
      </c>
      <c r="S65" s="9">
        <v>1598.3793759901234</v>
      </c>
      <c r="T65" s="10">
        <v>1642.026935430369</v>
      </c>
      <c r="U65" s="10">
        <v>10400.341354986345</v>
      </c>
      <c r="V65" s="10">
        <v>6.506804023634127</v>
      </c>
      <c r="W65" s="11">
        <v>1642.026871741049</v>
      </c>
    </row>
    <row r="66" spans="1:23" ht="12.75">
      <c r="A66" s="60">
        <v>7</v>
      </c>
      <c r="B66" s="9">
        <v>391.1114108152207</v>
      </c>
      <c r="C66" s="10">
        <v>72.68428134307221</v>
      </c>
      <c r="D66" s="10">
        <v>5.380962755470634</v>
      </c>
      <c r="E66" s="11">
        <v>71.40619535558098</v>
      </c>
      <c r="F66">
        <v>195.55570540761036</v>
      </c>
      <c r="G66" s="4">
        <v>36.34214067153611</v>
      </c>
      <c r="H66" s="11">
        <v>35.70309767779049</v>
      </c>
      <c r="I66">
        <v>1598.4108300919454</v>
      </c>
      <c r="J66">
        <v>1570.3042512492316</v>
      </c>
      <c r="K66" s="21">
        <v>8600.989144665658</v>
      </c>
      <c r="L66" s="13">
        <v>-89.75622849338357</v>
      </c>
      <c r="M66" s="9"/>
      <c r="N66" s="10"/>
      <c r="O66" s="10"/>
      <c r="P66" s="10"/>
      <c r="Q66" s="11"/>
      <c r="R66" s="10">
        <v>1.0255189148904966</v>
      </c>
      <c r="S66" s="9">
        <v>1598.3950688019506</v>
      </c>
      <c r="T66" s="10">
        <v>1636.078655528565</v>
      </c>
      <c r="U66" s="10">
        <v>8820.477054622459</v>
      </c>
      <c r="V66" s="10">
        <v>5.518333500136295</v>
      </c>
      <c r="W66" s="11">
        <v>1636.078608905914</v>
      </c>
    </row>
    <row r="67" spans="1:23" ht="12.75">
      <c r="A67" s="60">
        <v>8</v>
      </c>
      <c r="B67" s="9">
        <v>299.09247833160344</v>
      </c>
      <c r="C67" s="10">
        <v>63.59942858323924</v>
      </c>
      <c r="D67" s="10">
        <v>4.7027541755371285</v>
      </c>
      <c r="E67" s="11">
        <v>62.19038132812488</v>
      </c>
      <c r="F67">
        <v>149.54623916580172</v>
      </c>
      <c r="G67" s="4">
        <v>31.79971429161962</v>
      </c>
      <c r="H67" s="11">
        <v>31.09519066406244</v>
      </c>
      <c r="I67">
        <v>1598.4279808769047</v>
      </c>
      <c r="J67">
        <v>1563.014760835076</v>
      </c>
      <c r="K67" s="21">
        <v>7517.013861364238</v>
      </c>
      <c r="L67" s="13">
        <v>-89.91768516013273</v>
      </c>
      <c r="M67" s="9"/>
      <c r="N67" s="10"/>
      <c r="O67" s="10"/>
      <c r="P67" s="10"/>
      <c r="Q67" s="11"/>
      <c r="R67" s="10">
        <v>1.0195952495335456</v>
      </c>
      <c r="S67" s="9">
        <v>1598.412949918468</v>
      </c>
      <c r="T67" s="10">
        <v>1628.6809839051216</v>
      </c>
      <c r="U67" s="10">
        <v>7664.311623724815</v>
      </c>
      <c r="V67" s="10">
        <v>4.7949509068452905</v>
      </c>
      <c r="W67" s="11">
        <v>1628.6809483710588</v>
      </c>
    </row>
    <row r="68" spans="1:23" ht="12.75">
      <c r="A68" s="60">
        <v>9</v>
      </c>
      <c r="B68" s="9">
        <v>236.12956650372723</v>
      </c>
      <c r="C68" s="10">
        <v>56.533519832204284</v>
      </c>
      <c r="D68" s="10">
        <v>4.176806383267435</v>
      </c>
      <c r="E68" s="11">
        <v>54.992441124140164</v>
      </c>
      <c r="F68">
        <v>118.06478325186362</v>
      </c>
      <c r="G68" s="4">
        <v>28.266759916102142</v>
      </c>
      <c r="H68" s="11">
        <v>27.496220562070082</v>
      </c>
      <c r="I68">
        <v>1598.4476152778327</v>
      </c>
      <c r="J68">
        <v>1554.8746413471083</v>
      </c>
      <c r="K68" s="21">
        <v>6676.4062028110675</v>
      </c>
      <c r="L68" s="13">
        <v>-90.05844441532768</v>
      </c>
      <c r="M68" s="9"/>
      <c r="N68" s="10"/>
      <c r="O68" s="10"/>
      <c r="P68" s="10"/>
      <c r="Q68" s="11"/>
      <c r="R68" s="10">
        <v>1.0155140300751277</v>
      </c>
      <c r="S68" s="9">
        <v>1598.4330849698188</v>
      </c>
      <c r="T68" s="10">
        <v>1620.056098974474</v>
      </c>
      <c r="U68" s="10">
        <v>6779.984169435249</v>
      </c>
      <c r="V68" s="10">
        <v>4.241644040772132</v>
      </c>
      <c r="W68" s="11">
        <v>1620.0560710468567</v>
      </c>
    </row>
    <row r="69" spans="1:23" ht="12.75">
      <c r="A69" s="60">
        <v>10</v>
      </c>
      <c r="B69" s="9">
        <v>191.1547730954638</v>
      </c>
      <c r="C69" s="10">
        <v>50.8808702142982</v>
      </c>
      <c r="D69" s="10">
        <v>3.756908486241787</v>
      </c>
      <c r="E69" s="11">
        <v>49.20833824088085</v>
      </c>
      <c r="F69">
        <v>95.5773865477319</v>
      </c>
      <c r="G69" s="4">
        <v>25.4404351071491</v>
      </c>
      <c r="H69" s="11">
        <v>24.604169120440424</v>
      </c>
      <c r="I69">
        <v>1598.4696807349494</v>
      </c>
      <c r="J69">
        <v>1545.9255391291347</v>
      </c>
      <c r="K69" s="21">
        <v>6005.304308553329</v>
      </c>
      <c r="L69" s="13">
        <v>-90.18479680753084</v>
      </c>
      <c r="M69" s="9"/>
      <c r="N69" s="10"/>
      <c r="O69" s="10"/>
      <c r="P69" s="10"/>
      <c r="Q69" s="11"/>
      <c r="R69" s="10">
        <v>1.0125846624975046</v>
      </c>
      <c r="S69" s="9">
        <v>1598.4555084756937</v>
      </c>
      <c r="T69" s="10">
        <v>1610.3527805655137</v>
      </c>
      <c r="U69" s="10">
        <v>6080.879036471293</v>
      </c>
      <c r="V69" s="10">
        <v>3.8042216403446143</v>
      </c>
      <c r="W69" s="11">
        <v>1610.3527580796363</v>
      </c>
    </row>
    <row r="70" spans="1:23" ht="12.75">
      <c r="A70" s="60">
        <v>15</v>
      </c>
      <c r="B70" s="9">
        <v>84.84192251273082</v>
      </c>
      <c r="C70" s="10">
        <v>33.923679815277495</v>
      </c>
      <c r="D70" s="10">
        <v>2.500964605688866</v>
      </c>
      <c r="E70" s="11">
        <v>31.632915973816342</v>
      </c>
      <c r="F70">
        <v>42.42096125636541</v>
      </c>
      <c r="G70" s="4">
        <v>16.961839907638748</v>
      </c>
      <c r="H70" s="11">
        <v>15.816457986908171</v>
      </c>
      <c r="I70">
        <v>1598.6157493561218</v>
      </c>
      <c r="J70">
        <v>1490.6660465244688</v>
      </c>
      <c r="K70" s="21">
        <v>3998.081407236444</v>
      </c>
      <c r="L70" s="13">
        <v>-90.70203120323097</v>
      </c>
      <c r="M70" s="9"/>
      <c r="N70" s="10"/>
      <c r="O70" s="10"/>
      <c r="P70" s="10"/>
      <c r="Q70" s="11"/>
      <c r="R70" s="10">
        <v>1.0056126345814707</v>
      </c>
      <c r="S70" s="9">
        <v>1598.60242436469</v>
      </c>
      <c r="T70" s="10">
        <v>1549.0500430736047</v>
      </c>
      <c r="U70" s="10">
        <v>4020.5211772022362</v>
      </c>
      <c r="V70" s="10">
        <v>2.515022569667412</v>
      </c>
      <c r="W70" s="11">
        <v>1549.050033460317</v>
      </c>
    </row>
    <row r="71" spans="1:23" ht="12.75">
      <c r="A71" s="60">
        <v>20</v>
      </c>
      <c r="B71" s="9">
        <v>47.700833294950996</v>
      </c>
      <c r="C71" s="10">
        <v>25.446022701757826</v>
      </c>
      <c r="D71" s="10">
        <v>1.8745889624493537</v>
      </c>
      <c r="E71" s="11">
        <v>22.6380733146082</v>
      </c>
      <c r="F71">
        <v>23.850416647475498</v>
      </c>
      <c r="G71" s="4">
        <v>12.723011350878913</v>
      </c>
      <c r="H71" s="11">
        <v>11.3190366573041</v>
      </c>
      <c r="I71">
        <v>1598.8207596584298</v>
      </c>
      <c r="J71">
        <v>1422.3920963320081</v>
      </c>
      <c r="K71" s="21">
        <v>2997.131748990589</v>
      </c>
      <c r="L71" s="13">
        <v>-91.13379543731779</v>
      </c>
      <c r="M71" s="9"/>
      <c r="N71" s="10"/>
      <c r="O71" s="10"/>
      <c r="P71" s="10"/>
      <c r="Q71" s="11"/>
      <c r="R71" s="10">
        <v>1.003160972481738</v>
      </c>
      <c r="S71" s="9">
        <v>1598.8077299932943</v>
      </c>
      <c r="T71" s="10">
        <v>1473.106383162491</v>
      </c>
      <c r="U71" s="10">
        <v>3006.6055999732944</v>
      </c>
      <c r="V71" s="10">
        <v>1.8805298120405622</v>
      </c>
      <c r="W71" s="11">
        <v>1473.1063780201239</v>
      </c>
    </row>
    <row r="72" spans="1:23" ht="13.5" thickBot="1">
      <c r="A72" s="61">
        <v>30</v>
      </c>
      <c r="B72" s="9">
        <v>21.193154505770444</v>
      </c>
      <c r="C72" s="10">
        <v>16.970232597757747</v>
      </c>
      <c r="D72" s="10">
        <v>1.2488429008669322</v>
      </c>
      <c r="E72" s="11">
        <v>13.467785320647462</v>
      </c>
      <c r="F72">
        <v>10.596577252885222</v>
      </c>
      <c r="G72" s="4">
        <v>8.485116298878873</v>
      </c>
      <c r="H72" s="11">
        <v>6.733892660323731</v>
      </c>
      <c r="I72">
        <v>1599.406741764773</v>
      </c>
      <c r="J72">
        <v>1269.308862704119</v>
      </c>
      <c r="K72" s="21">
        <v>1997.4077550516554</v>
      </c>
      <c r="L72" s="27">
        <v>-91.91199415065287</v>
      </c>
      <c r="M72" s="9"/>
      <c r="N72" s="10"/>
      <c r="O72" s="10"/>
      <c r="P72" s="10"/>
      <c r="Q72" s="11"/>
      <c r="R72" s="10">
        <v>1.0014061089705903</v>
      </c>
      <c r="S72" s="9">
        <v>1599.393919569865</v>
      </c>
      <c r="T72" s="10">
        <v>1305.0654571052462</v>
      </c>
      <c r="U72" s="10">
        <v>2000.216328013956</v>
      </c>
      <c r="V72" s="10">
        <v>1.25060893600989</v>
      </c>
      <c r="W72" s="11">
        <v>1305.065455080461</v>
      </c>
    </row>
    <row r="73" spans="1:23" ht="13.5" thickBot="1">
      <c r="A73" s="62">
        <v>37.448</v>
      </c>
      <c r="B73" s="14">
        <v>13.599987144414627</v>
      </c>
      <c r="C73" s="17">
        <v>13.600041120810554</v>
      </c>
      <c r="D73" s="91">
        <v>0.999996031159358</v>
      </c>
      <c r="E73" s="19">
        <v>9.830094417816643</v>
      </c>
      <c r="F73" s="90">
        <v>6.799993572207313</v>
      </c>
      <c r="G73" s="8">
        <v>6.800020560405277</v>
      </c>
      <c r="H73" s="19">
        <v>4.915047208908321</v>
      </c>
      <c r="I73" s="90">
        <v>1599.9953567199273</v>
      </c>
      <c r="J73" s="90">
        <v>1156.474843341335</v>
      </c>
      <c r="K73" s="22">
        <v>1599.9890065933291</v>
      </c>
      <c r="L73" s="15">
        <v>-92.46177301716828</v>
      </c>
      <c r="M73" s="14"/>
      <c r="N73" s="17"/>
      <c r="O73" s="17"/>
      <c r="P73" s="17"/>
      <c r="Q73" s="19"/>
      <c r="R73" s="17">
        <v>1.0009026378490158</v>
      </c>
      <c r="S73" s="14">
        <v>1599.9825906533313</v>
      </c>
      <c r="T73" s="17">
        <v>1183.333270757954</v>
      </c>
      <c r="U73" s="17">
        <v>1601.433217228685</v>
      </c>
      <c r="V73" s="91">
        <v>1.0009066514747267</v>
      </c>
      <c r="W73" s="19">
        <v>1183.333269579701</v>
      </c>
    </row>
    <row r="74" spans="1:23" ht="12.75">
      <c r="A74" s="61">
        <v>40</v>
      </c>
      <c r="B74" s="9">
        <v>11.91972942873594</v>
      </c>
      <c r="C74" s="10">
        <v>12.734200982722127</v>
      </c>
      <c r="D74" s="10">
        <v>0.9360406235859425</v>
      </c>
      <c r="E74" s="11">
        <v>8.909947757232338</v>
      </c>
      <c r="F74">
        <v>5.95986471436797</v>
      </c>
      <c r="G74" s="4">
        <v>6.367100491361064</v>
      </c>
      <c r="H74" s="11">
        <v>4.454973878616169</v>
      </c>
      <c r="I74">
        <v>1600.2268902662304</v>
      </c>
      <c r="J74">
        <v>1119.6570567195968</v>
      </c>
      <c r="K74" s="21">
        <v>1497.8773762437957</v>
      </c>
      <c r="L74" s="27">
        <v>-92.64716991791337</v>
      </c>
      <c r="M74" s="9"/>
      <c r="N74" s="10"/>
      <c r="O74" s="10"/>
      <c r="P74" s="10"/>
      <c r="Q74" s="11"/>
      <c r="R74" s="10">
        <v>1.0007911794822364</v>
      </c>
      <c r="S74" s="9">
        <v>1600.2141358204142</v>
      </c>
      <c r="T74" s="10">
        <v>1143.9763560923316</v>
      </c>
      <c r="U74" s="10">
        <v>1499.062466090778</v>
      </c>
      <c r="V74" s="10">
        <v>0.936788666300728</v>
      </c>
      <c r="W74" s="11">
        <v>1143.9763550939742</v>
      </c>
    </row>
    <row r="75" spans="1:23" ht="12.75">
      <c r="A75" s="60">
        <v>50</v>
      </c>
      <c r="B75" s="9">
        <v>7.628206267298867</v>
      </c>
      <c r="C75" s="10">
        <v>10.194070097433208</v>
      </c>
      <c r="D75" s="10">
        <v>0.7482983925350483</v>
      </c>
      <c r="E75" s="11">
        <v>6.287114809035139</v>
      </c>
      <c r="F75">
        <v>3.8141031336494335</v>
      </c>
      <c r="G75" s="4">
        <v>5.097035048716604</v>
      </c>
      <c r="H75" s="11">
        <v>3.1435574045175696</v>
      </c>
      <c r="I75">
        <v>1601.2807864137778</v>
      </c>
      <c r="J75">
        <v>987.5776848170183</v>
      </c>
      <c r="K75" s="21">
        <v>1198.235838470687</v>
      </c>
      <c r="L75" s="13">
        <v>-93.36458752953665</v>
      </c>
      <c r="M75" s="9"/>
      <c r="N75" s="10"/>
      <c r="O75" s="10"/>
      <c r="P75" s="10"/>
      <c r="Q75" s="11"/>
      <c r="R75" s="10">
        <v>1.0005064269721515</v>
      </c>
      <c r="S75" s="9">
        <v>1601.2680579920839</v>
      </c>
      <c r="T75" s="10">
        <v>1004.1336074093847</v>
      </c>
      <c r="U75" s="10">
        <v>1198.842657418288</v>
      </c>
      <c r="V75" s="10">
        <v>0.7486833022333448</v>
      </c>
      <c r="W75" s="11">
        <v>1004.1336068485429</v>
      </c>
    </row>
    <row r="76" spans="1:23" ht="12.75">
      <c r="A76" s="60">
        <v>60</v>
      </c>
      <c r="B76" s="9">
        <v>5.297206826483196</v>
      </c>
      <c r="C76" s="10">
        <v>8.501887053402271</v>
      </c>
      <c r="D76" s="10">
        <v>0.6230624793307933</v>
      </c>
      <c r="E76" s="11">
        <v>4.6464793179086925</v>
      </c>
      <c r="F76">
        <v>2.648603413241598</v>
      </c>
      <c r="G76" s="4">
        <v>4.2509435267011355</v>
      </c>
      <c r="H76" s="11">
        <v>2.3232396589543463</v>
      </c>
      <c r="I76">
        <v>1602.5679545171247</v>
      </c>
      <c r="J76">
        <v>875.8407174119317</v>
      </c>
      <c r="K76" s="21">
        <v>998.4999630375185</v>
      </c>
      <c r="L76" s="13">
        <v>-94.07252427776668</v>
      </c>
      <c r="M76" s="9"/>
      <c r="N76" s="10"/>
      <c r="O76" s="10"/>
      <c r="P76" s="10"/>
      <c r="Q76" s="11"/>
      <c r="R76" s="10">
        <v>1.000351712608832</v>
      </c>
      <c r="S76" s="9">
        <v>1602.5552345783997</v>
      </c>
      <c r="T76" s="10">
        <v>887.3124175510628</v>
      </c>
      <c r="U76" s="10">
        <v>998.8511480644377</v>
      </c>
      <c r="V76" s="10">
        <v>0.623286565425132</v>
      </c>
      <c r="W76" s="11">
        <v>887.3124172069017</v>
      </c>
    </row>
    <row r="77" spans="1:23" ht="12.75">
      <c r="A77" s="60">
        <v>70</v>
      </c>
      <c r="B77" s="9">
        <v>3.8917551511259596</v>
      </c>
      <c r="C77" s="10">
        <v>7.2942430567847945</v>
      </c>
      <c r="D77" s="10">
        <v>0.5335379039098535</v>
      </c>
      <c r="E77" s="11">
        <v>3.5588337973146507</v>
      </c>
      <c r="F77">
        <v>1.9458775755629798</v>
      </c>
      <c r="G77" s="4">
        <v>3.6471215283923972</v>
      </c>
      <c r="H77" s="11">
        <v>1.7794168986573253</v>
      </c>
      <c r="I77">
        <v>1604.0878280485426</v>
      </c>
      <c r="J77">
        <v>782.6284279093544</v>
      </c>
      <c r="K77" s="21">
        <v>855.8416574643285</v>
      </c>
      <c r="L77" s="13">
        <v>-94.77441290897586</v>
      </c>
      <c r="M77" s="9"/>
      <c r="N77" s="10"/>
      <c r="O77" s="10"/>
      <c r="P77" s="10"/>
      <c r="Q77" s="11"/>
      <c r="R77" s="10">
        <v>1.0002584131579708</v>
      </c>
      <c r="S77" s="9">
        <v>1604.0751073412225</v>
      </c>
      <c r="T77" s="10">
        <v>790.7673575346425</v>
      </c>
      <c r="U77" s="10">
        <v>856.0628182097564</v>
      </c>
      <c r="V77" s="10">
        <v>0.5336800093037373</v>
      </c>
      <c r="W77" s="11">
        <v>790.7673573093008</v>
      </c>
    </row>
    <row r="78" spans="1:23" ht="12.75">
      <c r="A78" s="60">
        <v>80</v>
      </c>
      <c r="B78" s="9">
        <v>2.979590118826712</v>
      </c>
      <c r="C78" s="10">
        <v>6.389433327526806</v>
      </c>
      <c r="D78" s="10">
        <v>0.46633088821666124</v>
      </c>
      <c r="E78" s="11">
        <v>2.8047892960323577</v>
      </c>
      <c r="F78">
        <v>1.489795059413356</v>
      </c>
      <c r="G78" s="4">
        <v>3.194716663763403</v>
      </c>
      <c r="H78" s="11">
        <v>1.4023946480161789</v>
      </c>
      <c r="I78">
        <v>1605.8397441888</v>
      </c>
      <c r="J78">
        <v>704.9204357826042</v>
      </c>
      <c r="K78" s="21">
        <v>748.852674241179</v>
      </c>
      <c r="L78" s="13">
        <v>-95.4718721816149</v>
      </c>
      <c r="M78" s="9"/>
      <c r="N78" s="10"/>
      <c r="O78" s="10"/>
      <c r="P78" s="10"/>
      <c r="Q78" s="11"/>
      <c r="R78" s="10">
        <v>1.0001978535666556</v>
      </c>
      <c r="S78" s="9">
        <v>1605.8270169273496</v>
      </c>
      <c r="T78" s="10">
        <v>710.8382308552546</v>
      </c>
      <c r="U78" s="10">
        <v>749.0008374136773</v>
      </c>
      <c r="V78" s="10">
        <v>0.4664268501640008</v>
      </c>
      <c r="W78" s="11">
        <v>710.8382307001665</v>
      </c>
    </row>
    <row r="79" spans="1:23" ht="12.75">
      <c r="A79" s="60">
        <v>90</v>
      </c>
      <c r="B79" s="9">
        <v>2.354225129170982</v>
      </c>
      <c r="C79" s="10">
        <v>5.686510423642014</v>
      </c>
      <c r="D79" s="10">
        <v>0.41400172580061495</v>
      </c>
      <c r="E79" s="11">
        <v>2.262772168307185</v>
      </c>
      <c r="F79">
        <v>1.177112564585491</v>
      </c>
      <c r="G79" s="4">
        <v>2.843255211821007</v>
      </c>
      <c r="H79" s="11">
        <v>1.1313860841535925</v>
      </c>
      <c r="I79">
        <v>1607.8229434327982</v>
      </c>
      <c r="J79">
        <v>639.7837578631173</v>
      </c>
      <c r="K79" s="21">
        <v>665.6414733630035</v>
      </c>
      <c r="L79" s="13">
        <v>-96.16571643753136</v>
      </c>
      <c r="M79" s="9"/>
      <c r="N79" s="10"/>
      <c r="O79" s="10"/>
      <c r="P79" s="10"/>
      <c r="Q79" s="11"/>
      <c r="R79" s="10">
        <v>1.0001563319905808</v>
      </c>
      <c r="S79" s="9">
        <v>1607.810205491009</v>
      </c>
      <c r="T79" s="10">
        <v>644.1878483700026</v>
      </c>
      <c r="U79" s="10">
        <v>665.7455344195489</v>
      </c>
      <c r="V79" s="10">
        <v>0.4140697279727966</v>
      </c>
      <c r="W79" s="11">
        <v>644.1878482589524</v>
      </c>
    </row>
    <row r="80" spans="1:23" ht="12.75">
      <c r="A80" s="60">
        <v>100</v>
      </c>
      <c r="B80" s="9">
        <v>1.9069113954543873</v>
      </c>
      <c r="C80" s="10">
        <v>5.124905575378917</v>
      </c>
      <c r="D80" s="10">
        <v>0.37208712773471897</v>
      </c>
      <c r="E80" s="11">
        <v>1.8613017139385812</v>
      </c>
      <c r="F80">
        <v>0.9534556977271936</v>
      </c>
      <c r="G80" s="4">
        <v>2.5624527876894585</v>
      </c>
      <c r="H80" s="11">
        <v>0.9306508569692906</v>
      </c>
      <c r="I80">
        <v>1610.0365705951779</v>
      </c>
      <c r="J80">
        <v>584.7451790623539</v>
      </c>
      <c r="K80" s="21">
        <v>599.0738831006164</v>
      </c>
      <c r="L80" s="13">
        <v>-96.85635943133691</v>
      </c>
      <c r="M80" s="9"/>
      <c r="N80" s="10"/>
      <c r="O80" s="10"/>
      <c r="P80" s="10"/>
      <c r="Q80" s="11"/>
      <c r="R80" s="10">
        <v>1.0001266307935166</v>
      </c>
      <c r="S80" s="9">
        <v>1610.0238187243947</v>
      </c>
      <c r="T80" s="10">
        <v>588.0930575776423</v>
      </c>
      <c r="U80" s="10">
        <v>599.1497443018094</v>
      </c>
      <c r="V80" s="10">
        <v>0.3721371928376248</v>
      </c>
      <c r="W80" s="11">
        <v>588.0930574955247</v>
      </c>
    </row>
    <row r="81" spans="1:23" ht="12.75">
      <c r="A81" s="60">
        <v>150</v>
      </c>
      <c r="B81" s="9">
        <v>0.8475046400034769</v>
      </c>
      <c r="C81" s="10">
        <v>3.4473485202899394</v>
      </c>
      <c r="D81" s="10">
        <v>0.24584245979637587</v>
      </c>
      <c r="E81" s="11">
        <v>0.8592625039561901</v>
      </c>
      <c r="F81">
        <v>0.42375232000173846</v>
      </c>
      <c r="G81" s="4">
        <v>1.7236742601449697</v>
      </c>
      <c r="H81" s="11">
        <v>0.42963125197809504</v>
      </c>
      <c r="I81">
        <v>1624.5247178559775</v>
      </c>
      <c r="J81">
        <v>404.917915490091</v>
      </c>
      <c r="K81" s="21">
        <v>399.3771526377278</v>
      </c>
      <c r="L81" s="13">
        <v>-100.2649748365074</v>
      </c>
      <c r="M81" s="9"/>
      <c r="N81" s="10"/>
      <c r="O81" s="10"/>
      <c r="P81" s="10"/>
      <c r="Q81" s="11"/>
      <c r="R81" s="10">
        <v>1.000056282333032</v>
      </c>
      <c r="S81" s="9">
        <v>1624.5118598587965</v>
      </c>
      <c r="T81" s="10">
        <v>406.00554825846456</v>
      </c>
      <c r="U81" s="10">
        <v>399.39963051563774</v>
      </c>
      <c r="V81" s="10">
        <v>0.24585824233400996</v>
      </c>
      <c r="W81" s="11">
        <v>406.0055482332679</v>
      </c>
    </row>
    <row r="82" spans="1:23" ht="12.75">
      <c r="A82" s="60">
        <v>200</v>
      </c>
      <c r="B82" s="9">
        <v>0.4767190889412498</v>
      </c>
      <c r="C82" s="10">
        <v>2.617452195578941</v>
      </c>
      <c r="D82" s="10">
        <v>0.18213096298242284</v>
      </c>
      <c r="E82" s="11">
        <v>0.4897336102772735</v>
      </c>
      <c r="F82">
        <v>0.2383595444706249</v>
      </c>
      <c r="G82" s="4">
        <v>1.3087260977894706</v>
      </c>
      <c r="H82" s="11">
        <v>0.24486680513863676</v>
      </c>
      <c r="I82">
        <v>1644.5937177506553</v>
      </c>
      <c r="J82">
        <v>307.70870245261807</v>
      </c>
      <c r="K82" s="21">
        <v>299.5314375287699</v>
      </c>
      <c r="L82" s="13">
        <v>-103.59377678416662</v>
      </c>
      <c r="M82" s="9"/>
      <c r="N82" s="10"/>
      <c r="O82" s="10"/>
      <c r="P82" s="10"/>
      <c r="Q82" s="11">
        <v>1598.3734951313543</v>
      </c>
      <c r="R82" s="10">
        <v>1.0000316592022485</v>
      </c>
      <c r="S82" s="9">
        <v>1644.5807039641622</v>
      </c>
      <c r="T82" s="10">
        <v>308.1739391062849</v>
      </c>
      <c r="U82" s="10">
        <v>299.5409204551301</v>
      </c>
      <c r="V82" s="10">
        <v>0.18213817037564903</v>
      </c>
      <c r="W82" s="11">
        <v>308.1739390955265</v>
      </c>
    </row>
    <row r="83" spans="1:23" ht="12.75">
      <c r="A83" s="60">
        <v>300</v>
      </c>
      <c r="B83" s="9">
        <v>0.2118744296746711</v>
      </c>
      <c r="C83" s="10">
        <v>1.8044236495172419</v>
      </c>
      <c r="D83" s="10">
        <v>0.11741944843793027</v>
      </c>
      <c r="E83" s="11">
        <v>0.21927481841121307</v>
      </c>
      <c r="F83">
        <v>0.10593721483733555</v>
      </c>
      <c r="G83" s="4">
        <v>0.9022118247586209</v>
      </c>
      <c r="H83" s="11">
        <v>0.10963740920560654</v>
      </c>
      <c r="I83">
        <v>1700.629224386115</v>
      </c>
      <c r="J83">
        <v>206.66164759137177</v>
      </c>
      <c r="K83" s="21">
        <v>199.6869455248422</v>
      </c>
      <c r="L83" s="13">
        <v>-109.95520059078471</v>
      </c>
      <c r="M83" s="9"/>
      <c r="N83" s="10"/>
      <c r="O83" s="10"/>
      <c r="P83" s="10"/>
      <c r="Q83" s="11">
        <v>1598.3734951313543</v>
      </c>
      <c r="R83" s="10">
        <v>1.0000140708803396</v>
      </c>
      <c r="S83" s="9">
        <v>1700.6157694434746</v>
      </c>
      <c r="T83" s="10">
        <v>206.79352622494775</v>
      </c>
      <c r="U83" s="10">
        <v>199.68975529595792</v>
      </c>
      <c r="V83" s="10">
        <v>0.11742202964594815</v>
      </c>
      <c r="W83" s="11">
        <v>206.79352622173957</v>
      </c>
    </row>
    <row r="84" spans="1:23" ht="12.75">
      <c r="A84" s="60">
        <v>400</v>
      </c>
      <c r="B84" s="9">
        <v>0.11917922475248223</v>
      </c>
      <c r="C84" s="10">
        <v>1.4133845048084002</v>
      </c>
      <c r="D84" s="10">
        <v>0.08432187019670083</v>
      </c>
      <c r="E84" s="11">
        <v>0.12334429727782273</v>
      </c>
      <c r="F84">
        <v>0.059589612376241115</v>
      </c>
      <c r="G84" s="4">
        <v>0.7066922524042001</v>
      </c>
      <c r="H84" s="11">
        <v>0.061672148638911364</v>
      </c>
      <c r="I84">
        <v>1776.111350801487</v>
      </c>
      <c r="J84">
        <v>154.99901527608148</v>
      </c>
      <c r="K84" s="21">
        <v>149.76503077717</v>
      </c>
      <c r="L84" s="13">
        <v>-115.84024175198928</v>
      </c>
      <c r="M84" s="9"/>
      <c r="N84" s="10"/>
      <c r="O84" s="10"/>
      <c r="P84" s="10"/>
      <c r="Q84" s="11">
        <v>1598.3734951313543</v>
      </c>
      <c r="R84" s="10">
        <v>1.0000079148945693</v>
      </c>
      <c r="S84" s="9">
        <v>1776.0972994885356</v>
      </c>
      <c r="T84" s="10">
        <v>155.05013347339076</v>
      </c>
      <c r="U84" s="10">
        <v>149.7662161515982</v>
      </c>
      <c r="V84" s="10">
        <v>0.08432320469983628</v>
      </c>
      <c r="W84" s="11">
        <v>155.05013347203794</v>
      </c>
    </row>
    <row r="85" spans="1:23" ht="12.75">
      <c r="A85" s="60">
        <v>500</v>
      </c>
      <c r="B85" s="9">
        <v>0.07627466179511905</v>
      </c>
      <c r="C85" s="10">
        <v>1.1896418500186543</v>
      </c>
      <c r="D85" s="10">
        <v>0.06411565110450934</v>
      </c>
      <c r="E85" s="11">
        <v>0.07876786658166805</v>
      </c>
      <c r="F85">
        <v>0.038137330897559524</v>
      </c>
      <c r="G85" s="4">
        <v>0.5948209250093272</v>
      </c>
      <c r="H85" s="11">
        <v>0.039383933290834026</v>
      </c>
      <c r="I85">
        <v>1868.6850482107873</v>
      </c>
      <c r="J85">
        <v>123.72827549595478</v>
      </c>
      <c r="K85" s="21">
        <v>119.81195857529602</v>
      </c>
      <c r="L85" s="13">
        <v>-121.1930935874341</v>
      </c>
      <c r="M85" s="9"/>
      <c r="N85" s="10"/>
      <c r="O85" s="10"/>
      <c r="P85" s="10"/>
      <c r="Q85" s="11">
        <v>1598.3734951313543</v>
      </c>
      <c r="R85" s="10">
        <v>1.0000050655397394</v>
      </c>
      <c r="S85" s="9">
        <v>1868.6702649231884</v>
      </c>
      <c r="T85" s="10">
        <v>123.75183677241218</v>
      </c>
      <c r="U85" s="10">
        <v>119.81256548753336</v>
      </c>
      <c r="V85" s="10">
        <v>0.06411648311450939</v>
      </c>
      <c r="W85" s="11">
        <v>123.75183677172143</v>
      </c>
    </row>
    <row r="86" spans="1:23" ht="12.75">
      <c r="A86" s="60">
        <v>600</v>
      </c>
      <c r="B86" s="9">
        <v>0.0529684992743617</v>
      </c>
      <c r="C86" s="10">
        <v>1.0482737900636792</v>
      </c>
      <c r="D86" s="10">
        <v>0.050529260367316926</v>
      </c>
      <c r="E86" s="11">
        <v>0.05454156291347092</v>
      </c>
      <c r="F86">
        <v>0.02648424963718085</v>
      </c>
      <c r="G86" s="4">
        <v>0.5241368950318396</v>
      </c>
      <c r="H86" s="11">
        <v>0.02727078145673546</v>
      </c>
      <c r="I86">
        <v>1975.94954268887</v>
      </c>
      <c r="J86">
        <v>102.80842401855897</v>
      </c>
      <c r="K86" s="21">
        <v>99.84326891520661</v>
      </c>
      <c r="L86" s="13">
        <v>-126.00264778394835</v>
      </c>
      <c r="M86" s="9"/>
      <c r="N86" s="10"/>
      <c r="O86" s="10"/>
      <c r="P86" s="10"/>
      <c r="Q86" s="11">
        <v>1598.3734951313543</v>
      </c>
      <c r="R86" s="10">
        <v>1.0000035177386513</v>
      </c>
      <c r="S86" s="9">
        <v>1975.9339110557053</v>
      </c>
      <c r="T86" s="10">
        <v>102.8205603108754</v>
      </c>
      <c r="U86" s="10">
        <v>99.84362013773274</v>
      </c>
      <c r="V86" s="10">
        <v>0.05052983785494531</v>
      </c>
      <c r="W86" s="11">
        <v>102.82056031047625</v>
      </c>
    </row>
    <row r="87" spans="1:23" ht="12.75">
      <c r="A87" s="60">
        <v>700</v>
      </c>
      <c r="B87" s="9">
        <v>0.03891562509350232</v>
      </c>
      <c r="C87" s="10">
        <v>0.9529516947041918</v>
      </c>
      <c r="D87" s="10">
        <v>0.04083693361349466</v>
      </c>
      <c r="E87" s="11">
        <v>0.03995071954423163</v>
      </c>
      <c r="F87">
        <v>0.01945781254675116</v>
      </c>
      <c r="G87" s="4">
        <v>0.4764758473520959</v>
      </c>
      <c r="H87" s="11">
        <v>0.019975359772115814</v>
      </c>
      <c r="I87">
        <v>2095.6502303160423</v>
      </c>
      <c r="J87">
        <v>87.856220918049</v>
      </c>
      <c r="K87" s="21">
        <v>85.57992933252103</v>
      </c>
      <c r="L87" s="13">
        <v>-130.28997954467954</v>
      </c>
      <c r="M87" s="9"/>
      <c r="N87" s="10"/>
      <c r="O87" s="10"/>
      <c r="P87" s="10"/>
      <c r="Q87" s="11">
        <v>1598.3734951313543</v>
      </c>
      <c r="R87" s="10">
        <v>1.0000025844622624</v>
      </c>
      <c r="S87" s="9">
        <v>2095.6336518845806</v>
      </c>
      <c r="T87" s="10">
        <v>87.862985565094</v>
      </c>
      <c r="U87" s="10">
        <v>85.58015051061865</v>
      </c>
      <c r="V87" s="10">
        <v>0.0408373622143629</v>
      </c>
      <c r="W87" s="11">
        <v>87.86298556484363</v>
      </c>
    </row>
    <row r="88" spans="1:23" ht="12.75">
      <c r="A88" s="60">
        <v>800</v>
      </c>
      <c r="B88" s="9">
        <v>0.029794771970636034</v>
      </c>
      <c r="C88" s="10">
        <v>0.8856103557885758</v>
      </c>
      <c r="D88" s="10">
        <v>0.03364320637839179</v>
      </c>
      <c r="E88" s="11">
        <v>0.030499675701344396</v>
      </c>
      <c r="F88">
        <v>0.014897385985318017</v>
      </c>
      <c r="G88" s="4">
        <v>0.4428051778942879</v>
      </c>
      <c r="H88" s="11">
        <v>0.015249837850672198</v>
      </c>
      <c r="I88">
        <v>2225.781590150746</v>
      </c>
      <c r="J88">
        <v>76.6540456961718</v>
      </c>
      <c r="K88" s="21">
        <v>74.8824293906666</v>
      </c>
      <c r="L88" s="13">
        <v>-134.0951614857703</v>
      </c>
      <c r="M88" s="9"/>
      <c r="N88" s="10"/>
      <c r="O88" s="10"/>
      <c r="P88" s="10"/>
      <c r="Q88" s="11">
        <v>1598.3734951313543</v>
      </c>
      <c r="R88" s="10">
        <v>1.000001978729515</v>
      </c>
      <c r="S88" s="9">
        <v>2225.7639823678073</v>
      </c>
      <c r="T88" s="10">
        <v>76.65805003792269</v>
      </c>
      <c r="U88" s="10">
        <v>74.8825775627398</v>
      </c>
      <c r="V88" s="10">
        <v>0.033643539097563485</v>
      </c>
      <c r="W88" s="11">
        <v>76.65805003775546</v>
      </c>
    </row>
    <row r="89" spans="1:23" ht="12.75">
      <c r="A89" s="60">
        <v>900</v>
      </c>
      <c r="B89" s="9">
        <v>0.023541546332304677</v>
      </c>
      <c r="C89" s="10">
        <v>0.8363140142909156</v>
      </c>
      <c r="D89" s="10">
        <v>0.028149171160625375</v>
      </c>
      <c r="E89" s="11">
        <v>0.024035668590786756</v>
      </c>
      <c r="F89">
        <v>0.011770773166152338</v>
      </c>
      <c r="G89" s="4">
        <v>0.4181570071454578</v>
      </c>
      <c r="H89" s="11">
        <v>0.012017834295393378</v>
      </c>
      <c r="I89">
        <v>2364.6221670514765</v>
      </c>
      <c r="J89">
        <v>67.95925188204116</v>
      </c>
      <c r="K89" s="21">
        <v>66.5621541105409</v>
      </c>
      <c r="L89" s="13">
        <v>-137.4668795488955</v>
      </c>
      <c r="M89" s="9"/>
      <c r="N89" s="10"/>
      <c r="O89" s="10"/>
      <c r="P89" s="10"/>
      <c r="Q89" s="11">
        <v>1598.3734951313543</v>
      </c>
      <c r="R89" s="10">
        <v>1.00000156344093</v>
      </c>
      <c r="S89" s="9">
        <v>2364.60346099823</v>
      </c>
      <c r="T89" s="10">
        <v>67.96173926019873</v>
      </c>
      <c r="U89" s="10">
        <v>66.56225817653717</v>
      </c>
      <c r="V89" s="10">
        <v>0.02814943785476721</v>
      </c>
      <c r="W89" s="11">
        <v>67.96173926008159</v>
      </c>
    </row>
    <row r="90" spans="1:23" ht="13.5" thickBot="1">
      <c r="A90" s="80">
        <v>1000</v>
      </c>
      <c r="B90" s="81">
        <v>0.019068651433307604</v>
      </c>
      <c r="C90" s="82">
        <v>0.7991893990974093</v>
      </c>
      <c r="D90" s="82">
        <v>0.02385999045388167</v>
      </c>
      <c r="E90" s="83">
        <v>0.019423749094544182</v>
      </c>
      <c r="F90" s="82">
        <v>0.009534325716653802</v>
      </c>
      <c r="G90" s="84">
        <v>0.39959469954870463</v>
      </c>
      <c r="H90" s="83">
        <v>0.009711874547272091</v>
      </c>
      <c r="I90" s="82">
        <v>2510.7275450312623</v>
      </c>
      <c r="J90" s="82">
        <v>61.021507460591444</v>
      </c>
      <c r="K90" s="85">
        <v>59.905935256743646</v>
      </c>
      <c r="L90" s="13">
        <v>-140.45550610420167</v>
      </c>
      <c r="M90" s="81"/>
      <c r="N90" s="82"/>
      <c r="O90" s="82"/>
      <c r="P90" s="82"/>
      <c r="Q90" s="83">
        <v>1598.3734951313543</v>
      </c>
      <c r="R90" s="82">
        <v>1.000001266387339</v>
      </c>
      <c r="S90" s="81">
        <v>2510.7076832238486</v>
      </c>
      <c r="T90" s="82">
        <v>61.02311548529998</v>
      </c>
      <c r="U90" s="82">
        <v>59.90601112086143</v>
      </c>
      <c r="V90" s="82">
        <v>0.02386020942268348</v>
      </c>
      <c r="W90" s="83">
        <v>61.02311548521475</v>
      </c>
    </row>
    <row r="92" spans="11:12" ht="12.75">
      <c r="K92">
        <f>A73</f>
        <v>37.448</v>
      </c>
      <c r="L92" s="165">
        <v>-180</v>
      </c>
    </row>
    <row r="93" spans="11:12" ht="12.75">
      <c r="K93">
        <f>A73</f>
        <v>37.448</v>
      </c>
      <c r="L93" s="165">
        <v>180</v>
      </c>
    </row>
    <row r="102" ht="12.75">
      <c r="O102" s="103" t="b">
        <f>O25=Control!AR24</f>
        <v>1</v>
      </c>
    </row>
  </sheetData>
  <sheetProtection sheet="1" objects="1" scenarios="1"/>
  <mergeCells count="5">
    <mergeCell ref="R1:W1"/>
    <mergeCell ref="B1:E1"/>
    <mergeCell ref="F1:H1"/>
    <mergeCell ref="I1:K1"/>
    <mergeCell ref="M1:Q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6"/>
  <sheetViews>
    <sheetView zoomScale="85" zoomScaleNormal="85" workbookViewId="0" topLeftCell="A4">
      <selection activeCell="C5" sqref="C5"/>
    </sheetView>
  </sheetViews>
  <sheetFormatPr defaultColWidth="9.140625" defaultRowHeight="12.75"/>
  <cols>
    <col min="4" max="4" width="27.140625" style="0" bestFit="1" customWidth="1"/>
    <col min="5" max="5" width="13.28125" style="0" customWidth="1"/>
    <col min="6" max="6" width="11.7109375" style="0" customWidth="1"/>
    <col min="7" max="7" width="27.140625" style="0" customWidth="1"/>
    <col min="8" max="8" width="9.57421875" style="0" bestFit="1" customWidth="1"/>
    <col min="9" max="9" width="9.57421875" style="0" customWidth="1"/>
    <col min="10" max="10" width="32.57421875" style="0" customWidth="1"/>
  </cols>
  <sheetData>
    <row r="1" spans="2:14" ht="12.75">
      <c r="B1" s="7" t="s">
        <v>208</v>
      </c>
      <c r="C1" s="7"/>
      <c r="D1" s="7"/>
      <c r="E1" s="7" t="s">
        <v>256</v>
      </c>
      <c r="F1" s="7"/>
      <c r="G1" s="7"/>
      <c r="H1" s="7" t="s">
        <v>209</v>
      </c>
      <c r="I1" s="7"/>
      <c r="J1" s="7"/>
      <c r="K1" s="270" t="s">
        <v>247</v>
      </c>
      <c r="L1" s="7"/>
      <c r="M1" s="7"/>
      <c r="N1" s="7"/>
    </row>
    <row r="2" ht="12.75">
      <c r="G2" s="269"/>
    </row>
    <row r="3" spans="2:11" ht="18">
      <c r="B3" s="248" t="s">
        <v>213</v>
      </c>
      <c r="C3" s="265" t="s">
        <v>48</v>
      </c>
      <c r="D3" s="268" t="s">
        <v>248</v>
      </c>
      <c r="E3" s="248"/>
      <c r="F3" s="265"/>
      <c r="G3" s="268"/>
      <c r="H3" s="249" t="s">
        <v>227</v>
      </c>
      <c r="I3" s="265" t="s">
        <v>228</v>
      </c>
      <c r="J3" s="267" t="s">
        <v>229</v>
      </c>
      <c r="K3" s="249"/>
    </row>
    <row r="4" spans="2:11" ht="18">
      <c r="B4" s="271" t="s">
        <v>254</v>
      </c>
      <c r="C4" s="265" t="s">
        <v>45</v>
      </c>
      <c r="D4" s="267" t="s">
        <v>238</v>
      </c>
      <c r="E4" s="265"/>
      <c r="F4" s="267"/>
      <c r="G4" s="267"/>
      <c r="H4" s="248" t="s">
        <v>214</v>
      </c>
      <c r="I4" s="265" t="s">
        <v>45</v>
      </c>
      <c r="J4" s="267" t="s">
        <v>238</v>
      </c>
      <c r="K4" s="249"/>
    </row>
    <row r="5" spans="2:11" ht="18">
      <c r="B5" s="248" t="s">
        <v>215</v>
      </c>
      <c r="C5" s="265" t="s">
        <v>47</v>
      </c>
      <c r="D5" s="267" t="s">
        <v>234</v>
      </c>
      <c r="E5" s="265"/>
      <c r="F5" s="267"/>
      <c r="G5" s="267"/>
      <c r="H5" s="249" t="s">
        <v>215</v>
      </c>
      <c r="I5" s="265" t="s">
        <v>114</v>
      </c>
      <c r="J5" s="267" t="s">
        <v>234</v>
      </c>
      <c r="K5" s="249"/>
    </row>
    <row r="6" spans="2:11" ht="18">
      <c r="B6" s="248" t="s">
        <v>218</v>
      </c>
      <c r="C6" s="265" t="s">
        <v>47</v>
      </c>
      <c r="D6" s="267" t="s">
        <v>236</v>
      </c>
      <c r="E6" s="265"/>
      <c r="F6" s="267"/>
      <c r="G6" s="267"/>
      <c r="H6" s="248" t="s">
        <v>235</v>
      </c>
      <c r="I6" s="265" t="s">
        <v>114</v>
      </c>
      <c r="J6" s="267" t="s">
        <v>236</v>
      </c>
      <c r="K6" s="249"/>
    </row>
    <row r="7" spans="2:11" ht="18">
      <c r="B7" s="248" t="s">
        <v>255</v>
      </c>
      <c r="C7" s="265" t="s">
        <v>47</v>
      </c>
      <c r="D7" s="267" t="s">
        <v>242</v>
      </c>
      <c r="E7" s="265"/>
      <c r="F7" s="267"/>
      <c r="G7" s="267"/>
      <c r="H7" s="248" t="s">
        <v>241</v>
      </c>
      <c r="I7" s="265" t="s">
        <v>114</v>
      </c>
      <c r="J7" s="267" t="s">
        <v>242</v>
      </c>
      <c r="K7" s="249"/>
    </row>
    <row r="8" spans="2:11" ht="18">
      <c r="B8" s="248" t="s">
        <v>217</v>
      </c>
      <c r="C8" s="265" t="s">
        <v>41</v>
      </c>
      <c r="D8" s="267" t="s">
        <v>232</v>
      </c>
      <c r="E8" s="265"/>
      <c r="F8" s="267"/>
      <c r="G8" s="267"/>
      <c r="H8" s="248" t="s">
        <v>217</v>
      </c>
      <c r="I8" s="265" t="s">
        <v>41</v>
      </c>
      <c r="J8" s="267" t="s">
        <v>232</v>
      </c>
      <c r="K8" s="249"/>
    </row>
    <row r="9" spans="2:11" ht="21" thickBot="1">
      <c r="B9" s="323" t="s">
        <v>272</v>
      </c>
      <c r="C9" s="265" t="s">
        <v>45</v>
      </c>
      <c r="D9" s="268" t="s">
        <v>278</v>
      </c>
      <c r="E9" s="265"/>
      <c r="F9" s="267"/>
      <c r="G9" s="267"/>
      <c r="H9" s="248"/>
      <c r="I9" s="265"/>
      <c r="J9" s="267"/>
      <c r="K9" s="249"/>
    </row>
    <row r="10" spans="2:13" ht="15">
      <c r="B10" s="322" t="s">
        <v>210</v>
      </c>
      <c r="C10" s="276" t="s">
        <v>46</v>
      </c>
      <c r="D10" s="277" t="s">
        <v>250</v>
      </c>
      <c r="E10" s="275" t="s">
        <v>210</v>
      </c>
      <c r="F10" s="276" t="s">
        <v>46</v>
      </c>
      <c r="G10" s="277" t="s">
        <v>250</v>
      </c>
      <c r="H10" s="275" t="s">
        <v>210</v>
      </c>
      <c r="I10" s="276" t="s">
        <v>46</v>
      </c>
      <c r="J10" s="277" t="s">
        <v>233</v>
      </c>
      <c r="K10" s="275"/>
      <c r="L10" s="31"/>
      <c r="M10" s="31"/>
    </row>
    <row r="11" spans="2:11" ht="15">
      <c r="B11" s="249" t="s">
        <v>212</v>
      </c>
      <c r="C11" s="265" t="s">
        <v>112</v>
      </c>
      <c r="D11" s="268" t="s">
        <v>249</v>
      </c>
      <c r="E11" s="249" t="s">
        <v>212</v>
      </c>
      <c r="F11" s="265" t="s">
        <v>112</v>
      </c>
      <c r="G11" s="268" t="s">
        <v>249</v>
      </c>
      <c r="H11" s="249"/>
      <c r="I11" s="265"/>
      <c r="J11" s="267"/>
      <c r="K11" s="249"/>
    </row>
    <row r="12" spans="2:11" ht="18">
      <c r="B12" s="249"/>
      <c r="C12" s="265"/>
      <c r="D12" s="268"/>
      <c r="E12" s="272" t="s">
        <v>257</v>
      </c>
      <c r="F12" s="265" t="s">
        <v>258</v>
      </c>
      <c r="G12" s="268" t="s">
        <v>259</v>
      </c>
      <c r="H12" s="249"/>
      <c r="I12" s="265"/>
      <c r="J12" s="267"/>
      <c r="K12" s="249"/>
    </row>
    <row r="13" spans="2:11" ht="18">
      <c r="B13" s="250" t="s">
        <v>219</v>
      </c>
      <c r="C13" s="266" t="s">
        <v>240</v>
      </c>
      <c r="D13" s="268" t="s">
        <v>251</v>
      </c>
      <c r="E13" s="274" t="s">
        <v>265</v>
      </c>
      <c r="F13" s="266" t="s">
        <v>240</v>
      </c>
      <c r="G13" s="267" t="s">
        <v>266</v>
      </c>
      <c r="I13" s="269"/>
      <c r="J13" s="269"/>
      <c r="K13" s="249"/>
    </row>
    <row r="14" spans="2:11" ht="18">
      <c r="B14" s="248" t="s">
        <v>220</v>
      </c>
      <c r="C14" s="265" t="s">
        <v>45</v>
      </c>
      <c r="D14" s="268" t="s">
        <v>237</v>
      </c>
      <c r="E14" s="248" t="s">
        <v>220</v>
      </c>
      <c r="F14" s="265" t="s">
        <v>45</v>
      </c>
      <c r="G14" s="267" t="s">
        <v>260</v>
      </c>
      <c r="H14" s="249"/>
      <c r="I14" s="265"/>
      <c r="J14" s="267"/>
      <c r="K14" s="249"/>
    </row>
    <row r="15" spans="2:13" ht="21" thickBot="1">
      <c r="B15" s="82"/>
      <c r="C15" s="82"/>
      <c r="D15" s="82"/>
      <c r="E15" s="278" t="s">
        <v>262</v>
      </c>
      <c r="F15" s="279" t="s">
        <v>263</v>
      </c>
      <c r="G15" s="280" t="s">
        <v>264</v>
      </c>
      <c r="H15" s="281" t="s">
        <v>220</v>
      </c>
      <c r="I15" s="282" t="s">
        <v>45</v>
      </c>
      <c r="J15" s="283" t="s">
        <v>237</v>
      </c>
      <c r="K15" s="284"/>
      <c r="L15" s="82"/>
      <c r="M15" s="82"/>
    </row>
    <row r="16" spans="2:11" ht="18">
      <c r="B16" s="248"/>
      <c r="C16" s="265"/>
      <c r="D16" s="267"/>
      <c r="E16" s="265"/>
      <c r="F16" s="267"/>
      <c r="G16" s="267"/>
      <c r="H16" s="248" t="s">
        <v>243</v>
      </c>
      <c r="I16" s="265" t="s">
        <v>45</v>
      </c>
      <c r="J16" s="267" t="s">
        <v>230</v>
      </c>
      <c r="K16" s="249"/>
    </row>
    <row r="17" spans="2:11" ht="15">
      <c r="B17" s="249" t="s">
        <v>211</v>
      </c>
      <c r="C17" s="265" t="s">
        <v>28</v>
      </c>
      <c r="D17" s="267"/>
      <c r="E17" s="265"/>
      <c r="F17" s="267"/>
      <c r="G17" s="267"/>
      <c r="H17" s="249" t="s">
        <v>211</v>
      </c>
      <c r="I17" s="265" t="s">
        <v>28</v>
      </c>
      <c r="J17" s="268" t="s">
        <v>231</v>
      </c>
      <c r="K17" s="249"/>
    </row>
    <row r="18" spans="2:11" ht="18">
      <c r="B18" s="248" t="s">
        <v>216</v>
      </c>
      <c r="C18" s="265" t="s">
        <v>47</v>
      </c>
      <c r="D18" s="267"/>
      <c r="E18" s="265"/>
      <c r="F18" s="267"/>
      <c r="G18" s="267"/>
      <c r="H18" s="249"/>
      <c r="I18" s="265"/>
      <c r="J18" s="267"/>
      <c r="K18" s="249"/>
    </row>
    <row r="19" spans="2:11" ht="18">
      <c r="B19" s="248" t="s">
        <v>221</v>
      </c>
      <c r="C19" s="265" t="s">
        <v>48</v>
      </c>
      <c r="D19" s="268"/>
      <c r="E19" s="266"/>
      <c r="F19" s="268"/>
      <c r="G19" s="268"/>
      <c r="H19" s="249"/>
      <c r="I19" s="265"/>
      <c r="J19" s="267"/>
      <c r="K19" s="249"/>
    </row>
    <row r="20" spans="5:11" ht="15">
      <c r="E20" s="5"/>
      <c r="G20" s="273"/>
      <c r="H20" s="249"/>
      <c r="I20" s="265"/>
      <c r="J20" s="267"/>
      <c r="K20" s="249"/>
    </row>
    <row r="21" spans="2:11" ht="18">
      <c r="B21" s="251" t="s">
        <v>222</v>
      </c>
      <c r="C21" s="265" t="s">
        <v>45</v>
      </c>
      <c r="D21" s="267"/>
      <c r="E21" s="265"/>
      <c r="F21" s="267"/>
      <c r="G21" s="267"/>
      <c r="H21" s="248" t="s">
        <v>220</v>
      </c>
      <c r="I21" s="265" t="s">
        <v>45</v>
      </c>
      <c r="J21" s="268" t="s">
        <v>237</v>
      </c>
      <c r="K21" s="249"/>
    </row>
    <row r="22" spans="2:11" ht="18">
      <c r="B22" s="251" t="s">
        <v>223</v>
      </c>
      <c r="C22" s="265" t="s">
        <v>45</v>
      </c>
      <c r="D22" s="267"/>
      <c r="E22" s="265"/>
      <c r="F22" s="267"/>
      <c r="G22" s="267"/>
      <c r="H22" s="249"/>
      <c r="I22" s="265"/>
      <c r="J22" s="267"/>
      <c r="K22" s="249"/>
    </row>
    <row r="23" spans="2:11" ht="15">
      <c r="B23" s="249"/>
      <c r="C23" s="265"/>
      <c r="D23" s="267"/>
      <c r="E23" s="265"/>
      <c r="F23" s="267"/>
      <c r="G23" s="267"/>
      <c r="H23" s="249"/>
      <c r="I23" s="265"/>
      <c r="J23" s="267"/>
      <c r="K23" s="249"/>
    </row>
    <row r="24" spans="2:11" ht="17.25">
      <c r="B24" s="254" t="s">
        <v>224</v>
      </c>
      <c r="C24" s="266" t="s">
        <v>226</v>
      </c>
      <c r="D24" s="268"/>
      <c r="E24" s="266"/>
      <c r="F24" s="268"/>
      <c r="G24" s="268"/>
      <c r="H24" s="249"/>
      <c r="I24" s="265"/>
      <c r="J24" s="267"/>
      <c r="K24" s="249"/>
    </row>
    <row r="25" spans="2:11" ht="17.25">
      <c r="B25" s="254" t="s">
        <v>225</v>
      </c>
      <c r="C25" s="266" t="s">
        <v>226</v>
      </c>
      <c r="D25" s="268"/>
      <c r="E25" s="266"/>
      <c r="F25" s="268"/>
      <c r="G25" s="268"/>
      <c r="H25" s="249"/>
      <c r="I25" s="265"/>
      <c r="J25" s="267"/>
      <c r="K25" s="249"/>
    </row>
    <row r="26" spans="2:11" ht="15">
      <c r="B26" s="255"/>
      <c r="C26" s="265"/>
      <c r="D26" s="267"/>
      <c r="E26" s="265"/>
      <c r="F26" s="267"/>
      <c r="G26" s="267"/>
      <c r="H26" s="249"/>
      <c r="I26" s="265"/>
      <c r="J26" s="267"/>
      <c r="K26" s="249"/>
    </row>
    <row r="27" spans="2:11" ht="18">
      <c r="B27" s="256" t="s">
        <v>118</v>
      </c>
      <c r="C27" s="266" t="s">
        <v>240</v>
      </c>
      <c r="D27" s="267" t="s">
        <v>239</v>
      </c>
      <c r="E27" s="265"/>
      <c r="F27" s="267"/>
      <c r="G27" s="267"/>
      <c r="H27" s="249"/>
      <c r="I27" s="265"/>
      <c r="J27" s="267"/>
      <c r="K27" s="249"/>
    </row>
    <row r="28" spans="2:11" ht="18">
      <c r="B28" s="256"/>
      <c r="C28" s="266"/>
      <c r="D28" s="267"/>
      <c r="E28" s="265"/>
      <c r="F28" s="267"/>
      <c r="G28" s="267"/>
      <c r="H28" s="248" t="s">
        <v>244</v>
      </c>
      <c r="I28" s="265" t="s">
        <v>45</v>
      </c>
      <c r="J28" s="268" t="s">
        <v>245</v>
      </c>
      <c r="K28" s="249"/>
    </row>
    <row r="29" spans="2:11" ht="15">
      <c r="B29" s="249"/>
      <c r="C29" s="249"/>
      <c r="D29" s="249"/>
      <c r="E29" s="249"/>
      <c r="F29" s="249"/>
      <c r="G29" s="267"/>
      <c r="H29" s="250" t="s">
        <v>219</v>
      </c>
      <c r="I29" s="266" t="s">
        <v>240</v>
      </c>
      <c r="J29" s="267" t="s">
        <v>246</v>
      </c>
      <c r="K29" s="249"/>
    </row>
    <row r="30" spans="2:11" ht="52.5">
      <c r="B30" s="249"/>
      <c r="C30" s="249"/>
      <c r="D30" s="249"/>
      <c r="E30" s="248" t="s">
        <v>261</v>
      </c>
      <c r="F30" s="249"/>
      <c r="G30" s="285" t="s">
        <v>271</v>
      </c>
      <c r="K30" s="249"/>
    </row>
    <row r="31" spans="2:11" ht="15">
      <c r="B31" s="249"/>
      <c r="C31" s="249"/>
      <c r="D31" s="249"/>
      <c r="E31" s="249"/>
      <c r="F31" s="249"/>
      <c r="G31" s="267"/>
      <c r="K31" s="249"/>
    </row>
    <row r="32" spans="2:11" ht="15">
      <c r="B32" s="249"/>
      <c r="C32" s="249"/>
      <c r="D32" s="249"/>
      <c r="E32" s="249"/>
      <c r="F32" s="249"/>
      <c r="G32" s="267"/>
      <c r="H32" s="249"/>
      <c r="I32" s="249"/>
      <c r="J32" s="249"/>
      <c r="K32" s="249"/>
    </row>
    <row r="33" spans="2:11" ht="18">
      <c r="B33" s="249"/>
      <c r="C33" s="249"/>
      <c r="D33" s="249"/>
      <c r="E33" s="248" t="s">
        <v>267</v>
      </c>
      <c r="F33" s="249"/>
      <c r="G33" s="268" t="s">
        <v>270</v>
      </c>
      <c r="H33" s="249"/>
      <c r="I33" s="249"/>
      <c r="J33" s="249"/>
      <c r="K33" s="249"/>
    </row>
    <row r="34" spans="2:11" ht="18">
      <c r="B34" s="249"/>
      <c r="C34" s="249"/>
      <c r="D34" s="249"/>
      <c r="E34" s="248" t="s">
        <v>268</v>
      </c>
      <c r="F34" s="249"/>
      <c r="G34" s="268" t="s">
        <v>269</v>
      </c>
      <c r="H34" s="249"/>
      <c r="I34" s="249"/>
      <c r="J34" s="249"/>
      <c r="K34" s="249"/>
    </row>
    <row r="35" spans="2:11" ht="15">
      <c r="B35" s="249"/>
      <c r="C35" s="249"/>
      <c r="D35" s="249"/>
      <c r="E35" s="249"/>
      <c r="F35" s="249"/>
      <c r="G35" s="267"/>
      <c r="H35" s="249"/>
      <c r="I35" s="249"/>
      <c r="J35" s="249"/>
      <c r="K35" s="249"/>
    </row>
    <row r="36" spans="2:11" ht="15">
      <c r="B36" s="249"/>
      <c r="C36" s="249"/>
      <c r="D36" s="249"/>
      <c r="E36" s="249"/>
      <c r="F36" s="249"/>
      <c r="G36" s="267"/>
      <c r="H36" s="249"/>
      <c r="I36" s="249"/>
      <c r="J36" s="249"/>
      <c r="K36" s="249"/>
    </row>
    <row r="37" spans="2:11" ht="15">
      <c r="B37" s="249"/>
      <c r="C37" s="249"/>
      <c r="D37" s="249"/>
      <c r="E37" s="249"/>
      <c r="F37" s="249"/>
      <c r="G37" s="267"/>
      <c r="H37" s="249"/>
      <c r="I37" s="249"/>
      <c r="J37" s="249"/>
      <c r="K37" s="249"/>
    </row>
    <row r="38" spans="2:11" ht="15">
      <c r="B38" s="249"/>
      <c r="C38" s="249"/>
      <c r="D38" s="249"/>
      <c r="E38" s="249"/>
      <c r="F38" s="249"/>
      <c r="G38" s="249"/>
      <c r="H38" s="249"/>
      <c r="I38" s="249"/>
      <c r="J38" s="249"/>
      <c r="K38" s="249"/>
    </row>
    <row r="39" spans="2:11" ht="15">
      <c r="B39" s="252"/>
      <c r="C39" s="252"/>
      <c r="D39" s="252"/>
      <c r="E39" s="252"/>
      <c r="F39" s="252"/>
      <c r="G39" s="252"/>
      <c r="H39" s="252"/>
      <c r="I39" s="252"/>
      <c r="J39" s="252"/>
      <c r="K39" s="252"/>
    </row>
    <row r="40" spans="2:11" ht="15">
      <c r="B40" s="253"/>
      <c r="C40" s="253"/>
      <c r="D40" s="253"/>
      <c r="E40" s="253"/>
      <c r="F40" s="253"/>
      <c r="G40" s="253"/>
      <c r="H40" s="253"/>
      <c r="I40" s="253"/>
      <c r="J40" s="253"/>
      <c r="K40" s="253"/>
    </row>
    <row r="41" spans="2:11" ht="15">
      <c r="B41" s="253"/>
      <c r="C41" s="253"/>
      <c r="D41" s="253"/>
      <c r="E41" s="253"/>
      <c r="F41" s="253"/>
      <c r="G41" s="253"/>
      <c r="H41" s="253"/>
      <c r="I41" s="253"/>
      <c r="J41" s="253"/>
      <c r="K41" s="253"/>
    </row>
    <row r="42" spans="2:11" ht="15">
      <c r="B42" s="253"/>
      <c r="C42" s="253"/>
      <c r="D42" s="253"/>
      <c r="E42" s="253"/>
      <c r="F42" s="253"/>
      <c r="G42" s="253"/>
      <c r="H42" s="253"/>
      <c r="I42" s="253"/>
      <c r="J42" s="253"/>
      <c r="K42" s="253"/>
    </row>
    <row r="43" spans="2:11" ht="15">
      <c r="B43" s="253"/>
      <c r="C43" s="253"/>
      <c r="D43" s="253"/>
      <c r="E43" s="253"/>
      <c r="F43" s="253"/>
      <c r="G43" s="253"/>
      <c r="H43" s="253"/>
      <c r="I43" s="253"/>
      <c r="J43" s="253"/>
      <c r="K43" s="253"/>
    </row>
    <row r="44" spans="2:11" ht="15">
      <c r="B44" s="253"/>
      <c r="C44" s="253"/>
      <c r="D44" s="253"/>
      <c r="E44" s="253"/>
      <c r="F44" s="253"/>
      <c r="G44" s="253"/>
      <c r="H44" s="253"/>
      <c r="I44" s="253"/>
      <c r="J44" s="253"/>
      <c r="K44" s="253"/>
    </row>
    <row r="45" spans="2:11" ht="15">
      <c r="B45" s="253"/>
      <c r="C45" s="253"/>
      <c r="D45" s="253"/>
      <c r="E45" s="253"/>
      <c r="F45" s="253"/>
      <c r="G45" s="253"/>
      <c r="H45" s="253"/>
      <c r="I45" s="253"/>
      <c r="J45" s="253"/>
      <c r="K45" s="253"/>
    </row>
    <row r="46" spans="2:11" ht="15">
      <c r="B46" s="253"/>
      <c r="C46" s="253"/>
      <c r="D46" s="253"/>
      <c r="E46" s="253"/>
      <c r="F46" s="253"/>
      <c r="G46" s="253"/>
      <c r="H46" s="253"/>
      <c r="I46" s="253"/>
      <c r="J46" s="253"/>
      <c r="K46" s="253"/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4"/>
  <sheetViews>
    <sheetView zoomScale="85" zoomScaleNormal="85" workbookViewId="0" topLeftCell="A49">
      <selection activeCell="N111" sqref="N111"/>
    </sheetView>
  </sheetViews>
  <sheetFormatPr defaultColWidth="9.140625" defaultRowHeight="12.75"/>
  <cols>
    <col min="2" max="2" width="9.00390625" style="0" bestFit="1" customWidth="1"/>
    <col min="3" max="3" width="9.28125" style="0" bestFit="1" customWidth="1"/>
    <col min="4" max="10" width="9.00390625" style="0" bestFit="1" customWidth="1"/>
  </cols>
  <sheetData>
    <row r="1" spans="1:10" ht="12.75" customHeight="1">
      <c r="A1" s="38" t="s">
        <v>88</v>
      </c>
      <c r="B1" s="50" t="s">
        <v>97</v>
      </c>
      <c r="C1" s="38" t="s">
        <v>4</v>
      </c>
      <c r="D1" s="38" t="s">
        <v>5</v>
      </c>
      <c r="E1" s="7" t="s">
        <v>49</v>
      </c>
      <c r="F1" s="7" t="s">
        <v>49</v>
      </c>
      <c r="G1" s="7" t="s">
        <v>49</v>
      </c>
      <c r="H1" s="7" t="s">
        <v>49</v>
      </c>
      <c r="I1" s="7" t="s">
        <v>49</v>
      </c>
      <c r="J1" s="7" t="s">
        <v>49</v>
      </c>
    </row>
    <row r="2" spans="1:10" ht="17.25">
      <c r="A2" s="38"/>
      <c r="B2" s="38" t="s">
        <v>18</v>
      </c>
      <c r="C2" s="38"/>
      <c r="D2" s="38"/>
      <c r="E2" s="48" t="s">
        <v>89</v>
      </c>
      <c r="F2" s="48" t="s">
        <v>90</v>
      </c>
      <c r="G2" s="48" t="s">
        <v>91</v>
      </c>
      <c r="H2" s="48" t="s">
        <v>92</v>
      </c>
      <c r="I2" s="48" t="s">
        <v>93</v>
      </c>
      <c r="J2" s="48" t="s">
        <v>94</v>
      </c>
    </row>
    <row r="4" spans="1:12" ht="18">
      <c r="A4">
        <v>0.1</v>
      </c>
      <c r="B4" s="51">
        <f>2*PI()/$A4</f>
        <v>62.83185307179586</v>
      </c>
      <c r="C4" s="51">
        <f aca="true" t="shared" si="0" ref="C4:C44">1-$B4*$B4*$L$4*$L$4</f>
        <v>-99</v>
      </c>
      <c r="D4" s="51">
        <f aca="true" t="shared" si="1" ref="D4:D44">2*$B4*$L$5*$L$4</f>
        <v>2</v>
      </c>
      <c r="E4" s="51">
        <f>1/(IMABS(COMPLEX(1-$B4*$B4*$L$4*$L$4,2*$B4*$L$5*$L$4,"j")))</f>
        <v>0.010098949511412771</v>
      </c>
      <c r="F4" s="51">
        <f>1/(IMABS(COMPLEX(1-$B4*$B4*$L$4*$L$4,2*$B4*$L$6*$L$4,"j")))</f>
        <v>0.010088152067206401</v>
      </c>
      <c r="G4" s="51">
        <f>1/(IMABS(COMPLEX(1-$B4*$B4*$L$4*$L$4,2*$B4*$L$7*$L$4,"j")))</f>
        <v>0.010049870596186849</v>
      </c>
      <c r="H4" s="51">
        <f>1/(IMABS(COMPLEX(1-$B4*$B4*$L$4*$L$4,2*$B4*$L$8*$L$4,"j")))</f>
        <v>0.009999530233104213</v>
      </c>
      <c r="I4" s="51">
        <f>1/(IMABS(COMPLEX(1-$B4*$B4*$L$4*$L$4,2*$B4*$L$9*$L$4,"j")))</f>
        <v>0.00997162126164355</v>
      </c>
      <c r="J4" s="51">
        <f>1/(IMABS(COMPLEX(1-$B4*$B4*$L$4*$L$4,2*$B4*$L$10*$L$4,"j")))</f>
        <v>0.009900990099009903</v>
      </c>
      <c r="K4" s="49" t="s">
        <v>96</v>
      </c>
      <c r="L4">
        <f>1/(2*PI())</f>
        <v>0.15915494309189535</v>
      </c>
    </row>
    <row r="5" spans="1:12" ht="12.75" customHeight="1">
      <c r="A5">
        <v>0.2</v>
      </c>
      <c r="B5" s="51">
        <f aca="true" t="shared" si="2" ref="B5:B44">2*PI()/$A5</f>
        <v>31.41592653589793</v>
      </c>
      <c r="C5" s="51">
        <f t="shared" si="0"/>
        <v>-24</v>
      </c>
      <c r="D5" s="51">
        <f t="shared" si="1"/>
        <v>1</v>
      </c>
      <c r="E5" s="51">
        <f>1/(IMABS(COMPLEX(1-$B5*$B5*$L$4*$L$4,2*$B5*$L$5*$L$4,"j")))</f>
        <v>0.04163054471218133</v>
      </c>
      <c r="F5" s="51">
        <f>1/(IMABS(COMPLEX(1-$B5*$B5*$L$4*$L$4,2*$B5*$L$6*$L$4,"j")))</f>
        <v>0.041442433703782415</v>
      </c>
      <c r="G5" s="51">
        <f>1/(IMABS(COMPLEX(1-$B5*$B5*$L$4*$L$4,2*$B5*$L$7*$L$4,"j")))</f>
        <v>0.04079085082240021</v>
      </c>
      <c r="H5" s="51">
        <f>1/(IMABS(COMPLEX(1-$B5*$B5*$L$4*$L$4,2*$B5*$L$8*$L$4,"j")))</f>
        <v>0.03996852040022745</v>
      </c>
      <c r="I5" s="51">
        <f>1/(IMABS(COMPLEX(1-$B5*$B5*$L$4*$L$4,2*$B5*$L$9*$L$4,"j")))</f>
        <v>0.03952847075210474</v>
      </c>
      <c r="J5" s="51">
        <f>1/(IMABS(COMPLEX(1-$B5*$B5*$L$4*$L$4,2*$B5*$L$10*$L$4,"j")))</f>
        <v>0.038461538461538464</v>
      </c>
      <c r="K5" s="49" t="s">
        <v>95</v>
      </c>
      <c r="L5">
        <v>0.1</v>
      </c>
    </row>
    <row r="6" spans="1:12" ht="17.25">
      <c r="A6">
        <v>0.3</v>
      </c>
      <c r="B6" s="51">
        <f t="shared" si="2"/>
        <v>20.943951023931955</v>
      </c>
      <c r="C6" s="51">
        <f t="shared" si="0"/>
        <v>-10.111111111111114</v>
      </c>
      <c r="D6" s="51">
        <f t="shared" si="1"/>
        <v>0.6666666666666667</v>
      </c>
      <c r="E6" s="51">
        <f>1/(IMABS(COMPLEX(1-$B6*$B6*$L$4*$L$4,2*$B6*$L$5*$L$4,"j")))</f>
        <v>0.09868682087129386</v>
      </c>
      <c r="F6" s="51">
        <f>1/(IMABS(COMPLEX(1-$B6*$B6*$L$4*$L$4,2*$B6*$L$6*$L$4,"j")))</f>
        <v>0.09758427058689827</v>
      </c>
      <c r="G6" s="51">
        <f>1/(IMABS(COMPLEX(1-$B6*$B6*$L$4*$L$4,2*$B6*$L$7*$L$4,"j")))</f>
        <v>0.09392852786919725</v>
      </c>
      <c r="H6" s="51">
        <f>1/(IMABS(COMPLEX(1-$B6*$B6*$L$4*$L$4,2*$B6*$L$8*$L$4,"j")))</f>
        <v>0.08964011637041575</v>
      </c>
      <c r="I6" s="51">
        <f>1/(IMABS(COMPLEX(1-$B6*$B6*$L$4*$L$4,2*$B6*$L$9*$L$4,"j")))</f>
        <v>0.08747764408381398</v>
      </c>
      <c r="J6" s="51">
        <f>1/(IMABS(COMPLEX(1-$B6*$B6*$L$4*$L$4,2*$B6*$L$10*$L$4,"j")))</f>
        <v>0.08256880733944959</v>
      </c>
      <c r="K6" s="49" t="s">
        <v>95</v>
      </c>
      <c r="L6">
        <v>0.25</v>
      </c>
    </row>
    <row r="7" spans="1:12" ht="17.25">
      <c r="A7">
        <v>0.4</v>
      </c>
      <c r="B7" s="51">
        <f t="shared" si="2"/>
        <v>15.707963267948966</v>
      </c>
      <c r="C7" s="51">
        <f t="shared" si="0"/>
        <v>-5.25</v>
      </c>
      <c r="D7" s="51">
        <f t="shared" si="1"/>
        <v>0.5</v>
      </c>
      <c r="E7" s="51">
        <f>1/(IMABS(COMPLEX(1-$B7*$B7*$L$4*$L$4,2*$B7*$L$5*$L$4,"j")))</f>
        <v>0.18961818525599092</v>
      </c>
      <c r="F7" s="51">
        <f>1/(IMABS(COMPLEX(1-$B7*$B7*$L$4*$L$4,2*$B7*$L$6*$L$4,"j")))</f>
        <v>0.1852964218448318</v>
      </c>
      <c r="G7" s="51">
        <f>1/(IMABS(COMPLEX(1-$B7*$B7*$L$4*$L$4,2*$B7*$L$7*$L$4,"j")))</f>
        <v>0.1719734321569391</v>
      </c>
      <c r="H7" s="51">
        <f>1/(IMABS(COMPLEX(1-$B7*$B7*$L$4*$L$4,2*$B7*$L$8*$L$4,"j")))</f>
        <v>0.15799794517898572</v>
      </c>
      <c r="I7" s="51">
        <f>1/(IMABS(COMPLEX(1-$B7*$B7*$L$4*$L$4,2*$B7*$L$9*$L$4,"j")))</f>
        <v>0.15151080381571402</v>
      </c>
      <c r="J7" s="51">
        <f>1/(IMABS(COMPLEX(1-$B7*$B7*$L$4*$L$4,2*$B7*$L$10*$L$4,"j")))</f>
        <v>0.13793103448275862</v>
      </c>
      <c r="K7" s="49" t="s">
        <v>95</v>
      </c>
      <c r="L7">
        <v>0.5</v>
      </c>
    </row>
    <row r="8" spans="1:12" ht="17.25">
      <c r="A8">
        <v>0.5</v>
      </c>
      <c r="B8" s="51">
        <f t="shared" si="2"/>
        <v>12.566370614359172</v>
      </c>
      <c r="C8" s="51">
        <f t="shared" si="0"/>
        <v>-3</v>
      </c>
      <c r="D8" s="51">
        <f t="shared" si="1"/>
        <v>0.4</v>
      </c>
      <c r="E8" s="51">
        <f>1/(IMABS(COMPLEX(1-$B8*$B8*$L$4*$L$4,2*$B8*$L$5*$L$4,"j")))</f>
        <v>0.3304093002275449</v>
      </c>
      <c r="F8" s="51">
        <f>1/(IMABS(COMPLEX(1-$B8*$B8*$L$4*$L$4,2*$B8*$L$6*$L$4,"j")))</f>
        <v>0.31622776601683794</v>
      </c>
      <c r="G8" s="51">
        <f>1/(IMABS(COMPLEX(1-$B8*$B8*$L$4*$L$4,2*$B8*$L$7*$L$4,"j")))</f>
        <v>0.2773500981126145</v>
      </c>
      <c r="H8" s="51">
        <f>1/(IMABS(COMPLEX(1-$B8*$B8*$L$4*$L$4,2*$B8*$L$8*$L$4,"j")))</f>
        <v>0.24255286116970282</v>
      </c>
      <c r="I8" s="51">
        <f>1/(IMABS(COMPLEX(1-$B8*$B8*$L$4*$L$4,2*$B8*$L$9*$L$4,"j")))</f>
        <v>0.22798037629377657</v>
      </c>
      <c r="J8" s="51">
        <f>1/(IMABS(COMPLEX(1-$B8*$B8*$L$4*$L$4,2*$B8*$L$10*$L$4,"j")))</f>
        <v>0.2</v>
      </c>
      <c r="K8" s="49" t="s">
        <v>95</v>
      </c>
      <c r="L8">
        <v>0.707</v>
      </c>
    </row>
    <row r="9" spans="1:12" ht="17.25">
      <c r="A9">
        <v>0.6</v>
      </c>
      <c r="B9" s="51">
        <f t="shared" si="2"/>
        <v>10.471975511965978</v>
      </c>
      <c r="C9" s="51">
        <f t="shared" si="0"/>
        <v>-1.7777777777777786</v>
      </c>
      <c r="D9" s="51">
        <f t="shared" si="1"/>
        <v>0.33333333333333337</v>
      </c>
      <c r="E9" s="51">
        <f>1/(IMABS(COMPLEX(1-$B9*$B9*$L$4*$L$4,2*$B9*$L$5*$L$4,"j")))</f>
        <v>0.5528656051505555</v>
      </c>
      <c r="F9" s="51">
        <f>1/(IMABS(COMPLEX(1-$B9*$B9*$L$4*$L$4,2*$B9*$L$6*$L$4,"j")))</f>
        <v>0.509320651476863</v>
      </c>
      <c r="G9" s="51">
        <f>1/(IMABS(COMPLEX(1-$B9*$B9*$L$4*$L$4,2*$B9*$L$7*$L$4,"j")))</f>
        <v>0.4103646773287972</v>
      </c>
      <c r="H9" s="51">
        <f>1/(IMABS(COMPLEX(1-$B9*$B9*$L$4*$L$4,2*$B9*$L$8*$L$4,"j")))</f>
        <v>0.33875207352941716</v>
      </c>
      <c r="I9" s="51">
        <f>1/(IMABS(COMPLEX(1-$B9*$B9*$L$4*$L$4,2*$B9*$L$9*$L$4,"j")))</f>
        <v>0.31201886037669097</v>
      </c>
      <c r="J9" s="51">
        <f>1/(IMABS(COMPLEX(1-$B9*$B9*$L$4*$L$4,2*$B9*$L$10*$L$4,"j")))</f>
        <v>0.2647058823529413</v>
      </c>
      <c r="K9" s="49" t="s">
        <v>95</v>
      </c>
      <c r="L9">
        <v>0.8</v>
      </c>
    </row>
    <row r="10" spans="1:12" ht="17.25">
      <c r="A10">
        <v>0.7</v>
      </c>
      <c r="B10" s="51">
        <f t="shared" si="2"/>
        <v>8.975979010256552</v>
      </c>
      <c r="C10" s="51">
        <f t="shared" si="0"/>
        <v>-1.0408163265306123</v>
      </c>
      <c r="D10" s="51">
        <f t="shared" si="1"/>
        <v>0.2857142857142857</v>
      </c>
      <c r="E10" s="51">
        <f>1/(IMABS(COMPLEX(1-$B10*$B10*$L$4*$L$4,2*$B10*$L$5*$L$4,"j")))</f>
        <v>0.9265094362340957</v>
      </c>
      <c r="F10" s="51">
        <f>1/(IMABS(COMPLEX(1-$B10*$B10*$L$4*$L$4,2*$B10*$L$6*$L$4,"j")))</f>
        <v>0.7921794956773809</v>
      </c>
      <c r="G10" s="51">
        <f>1/(IMABS(COMPLEX(1-$B10*$B10*$L$4*$L$4,2*$B10*$L$7*$L$4,"j")))</f>
        <v>0.5657655473598491</v>
      </c>
      <c r="H10" s="51">
        <f>1/(IMABS(COMPLEX(1-$B10*$B10*$L$4*$L$4,2*$B10*$L$8*$L$4,"j")))</f>
        <v>0.44006776379070617</v>
      </c>
      <c r="I10" s="51">
        <f>1/(IMABS(COMPLEX(1-$B10*$B10*$L$4*$L$4,2*$B10*$L$9*$L$4,"j")))</f>
        <v>0.3981634961833739</v>
      </c>
      <c r="J10" s="51">
        <f>1/(IMABS(COMPLEX(1-$B10*$B10*$L$4*$L$4,2*$B10*$L$10*$L$4,"j")))</f>
        <v>0.32885906040268437</v>
      </c>
      <c r="K10" s="49" t="s">
        <v>95</v>
      </c>
      <c r="L10">
        <v>1</v>
      </c>
    </row>
    <row r="11" spans="1:10" ht="12.75">
      <c r="A11">
        <v>0.8</v>
      </c>
      <c r="B11" s="51">
        <f t="shared" si="2"/>
        <v>7.853981633974483</v>
      </c>
      <c r="C11" s="51">
        <f t="shared" si="0"/>
        <v>-0.5625</v>
      </c>
      <c r="D11" s="51">
        <f t="shared" si="1"/>
        <v>0.25</v>
      </c>
      <c r="E11" s="51">
        <f>1/(IMABS(COMPLEX(1-$B11*$B11*$L$4*$L$4,2*$B11*$L$5*$L$4,"j")))</f>
        <v>1.6245538642137907</v>
      </c>
      <c r="F11" s="51">
        <f>1/(IMABS(COMPLEX(1-$B11*$B11*$L$4*$L$4,2*$B11*$L$6*$L$4,"j")))</f>
        <v>1.189270633995466</v>
      </c>
      <c r="G11" s="51">
        <f>1/(IMABS(COMPLEX(1-$B11*$B11*$L$4*$L$4,2*$B11*$L$7*$L$4,"j")))</f>
        <v>0.7295372041400852</v>
      </c>
      <c r="H11" s="51">
        <f>1/(IMABS(COMPLEX(1-$B11*$B11*$L$4*$L$4,2*$B11*$L$8*$L$4,"j")))</f>
        <v>0.5391276250075824</v>
      </c>
      <c r="I11" s="51">
        <f>1/(IMABS(COMPLEX(1-$B11*$B11*$L$4*$L$4,2*$B11*$L$9*$L$4,"j")))</f>
        <v>0.4813254700769495</v>
      </c>
      <c r="J11" s="51">
        <f>1/(IMABS(COMPLEX(1-$B11*$B11*$L$4*$L$4,2*$B11*$L$10*$L$4,"j")))</f>
        <v>0.3902439024390244</v>
      </c>
    </row>
    <row r="12" spans="1:10" ht="12.75">
      <c r="A12">
        <v>0.85</v>
      </c>
      <c r="B12" s="51">
        <f t="shared" si="2"/>
        <v>7.391982714328925</v>
      </c>
      <c r="C12" s="51">
        <f t="shared" si="0"/>
        <v>-0.3840830449826993</v>
      </c>
      <c r="D12" s="51">
        <f t="shared" si="1"/>
        <v>0.23529411764705888</v>
      </c>
      <c r="E12" s="51">
        <f>1/(IMABS(COMPLEX(1-$B12*$B12*$L$4*$L$4,2*$B12*$L$5*$L$4,"j")))</f>
        <v>2.220123102874031</v>
      </c>
      <c r="F12" s="51">
        <f>1/(IMABS(COMPLEX(1-$B12*$B12*$L$4*$L$4,2*$B12*$L$6*$L$4,"j")))</f>
        <v>1.423438083747764</v>
      </c>
      <c r="G12" s="51">
        <f>1/(IMABS(COMPLEX(1-$B12*$B12*$L$4*$L$4,2*$B12*$L$7*$L$4,"j")))</f>
        <v>0.8080289480412036</v>
      </c>
      <c r="H12" s="51">
        <f>1/(IMABS(COMPLEX(1-$B12*$B12*$L$4*$L$4,2*$B12*$L$8*$L$4,"j")))</f>
        <v>0.5857224940253747</v>
      </c>
      <c r="I12" s="51">
        <f>1/(IMABS(COMPLEX(1-$B12*$B12*$L$4*$L$4,2*$B12*$L$9*$L$4,"j")))</f>
        <v>0.5205247317468981</v>
      </c>
      <c r="J12" s="51">
        <f>1/(IMABS(COMPLEX(1-$B12*$B12*$L$4*$L$4,2*$B12*$L$10*$L$4,"j")))</f>
        <v>0.41944847605224933</v>
      </c>
    </row>
    <row r="13" spans="1:10" ht="12.75">
      <c r="A13">
        <v>0.87</v>
      </c>
      <c r="B13" s="51">
        <f t="shared" si="2"/>
        <v>7.222052077217915</v>
      </c>
      <c r="C13" s="51">
        <f t="shared" si="0"/>
        <v>-0.3211784912141633</v>
      </c>
      <c r="D13" s="51">
        <f t="shared" si="1"/>
        <v>0.22988505747126436</v>
      </c>
      <c r="E13" s="51">
        <f>1/(IMABS(COMPLEX(1-$B13*$B13*$L$4*$L$4,2*$B13*$L$5*$L$4,"j")))</f>
        <v>2.53182599761954</v>
      </c>
      <c r="F13" s="51">
        <f>1/(IMABS(COMPLEX(1-$B13*$B13*$L$4*$L$4,2*$B13*$L$6*$L$4,"j")))</f>
        <v>1.5189041654016608</v>
      </c>
      <c r="G13" s="51">
        <f>1/(IMABS(COMPLEX(1-$B13*$B13*$L$4*$L$4,2*$B13*$L$7*$L$4,"j")))</f>
        <v>0.8379036106595015</v>
      </c>
      <c r="H13" s="51">
        <f>1/(IMABS(COMPLEX(1-$B13*$B13*$L$4*$L$4,2*$B13*$L$8*$L$4,"j")))</f>
        <v>0.603603018138847</v>
      </c>
      <c r="I13" s="51">
        <f>1/(IMABS(COMPLEX(1-$B13*$B13*$L$4*$L$4,2*$B13*$L$9*$L$4,"j")))</f>
        <v>0.5356429535615398</v>
      </c>
      <c r="J13" s="51">
        <f>1/(IMABS(COMPLEX(1-$B13*$B13*$L$4*$L$4,2*$B13*$L$10*$L$4,"j")))</f>
        <v>0.4308156411861809</v>
      </c>
    </row>
    <row r="14" spans="1:10" ht="12.75">
      <c r="A14">
        <v>0.9</v>
      </c>
      <c r="B14" s="51">
        <f t="shared" si="2"/>
        <v>6.981317007977318</v>
      </c>
      <c r="C14" s="51">
        <f t="shared" si="0"/>
        <v>-0.23456790123456805</v>
      </c>
      <c r="D14" s="51">
        <f t="shared" si="1"/>
        <v>0.22222222222222227</v>
      </c>
      <c r="E14" s="51">
        <f>1/(IMABS(COMPLEX(1-$B14*$B14*$L$4*$L$4,2*$B14*$L$5*$L$4,"j")))</f>
        <v>3.094850915598525</v>
      </c>
      <c r="F14" s="51">
        <f>1/(IMABS(COMPLEX(1-$B14*$B14*$L$4*$L$4,2*$B14*$L$6*$L$4,"j")))</f>
        <v>1.6582492105404931</v>
      </c>
      <c r="G14" s="51">
        <f>1/(IMABS(COMPLEX(1-$B14*$B14*$L$4*$L$4,2*$B14*$L$7*$L$4,"j")))</f>
        <v>0.880590855783192</v>
      </c>
      <c r="H14" s="51">
        <f>1/(IMABS(COMPLEX(1-$B14*$B14*$L$4*$L$4,2*$B14*$L$8*$L$4,"j")))</f>
        <v>0.6295147330969377</v>
      </c>
      <c r="I14" s="51">
        <f>1/(IMABS(COMPLEX(1-$B14*$B14*$L$4*$L$4,2*$B14*$L$9*$L$4,"j")))</f>
        <v>0.5576666425227391</v>
      </c>
      <c r="J14" s="51">
        <f>1/(IMABS(COMPLEX(1-$B14*$B14*$L$4*$L$4,2*$B14*$L$10*$L$4,"j")))</f>
        <v>0.44751381215469654</v>
      </c>
    </row>
    <row r="15" spans="1:10" ht="12.75">
      <c r="A15">
        <v>0.91</v>
      </c>
      <c r="B15" s="51">
        <f t="shared" si="2"/>
        <v>6.904599238658886</v>
      </c>
      <c r="C15" s="51">
        <f t="shared" si="0"/>
        <v>-0.20758362516604278</v>
      </c>
      <c r="D15" s="51">
        <f t="shared" si="1"/>
        <v>0.2197802197802198</v>
      </c>
      <c r="E15" s="51">
        <f>1/(IMABS(COMPLEX(1-$B15*$B15*$L$4*$L$4,2*$B15*$L$5*$L$4,"j")))</f>
        <v>3.30780903612395</v>
      </c>
      <c r="F15" s="51">
        <f>1/(IMABS(COMPLEX(1-$B15*$B15*$L$4*$L$4,2*$B15*$L$6*$L$4,"j")))</f>
        <v>1.7025454651434546</v>
      </c>
      <c r="G15" s="51">
        <f>1/(IMABS(COMPLEX(1-$B15*$B15*$L$4*$L$4,2*$B15*$L$7*$L$4,"j")))</f>
        <v>0.8941859412016483</v>
      </c>
      <c r="H15" s="51">
        <f>1/(IMABS(COMPLEX(1-$B15*$B15*$L$4*$L$4,2*$B15*$L$8*$L$4,"j")))</f>
        <v>0.6378971902324844</v>
      </c>
      <c r="I15" s="51">
        <f>1/(IMABS(COMPLEX(1-$B15*$B15*$L$4*$L$4,2*$B15*$L$9*$L$4,"j")))</f>
        <v>0.5648270843257491</v>
      </c>
      <c r="J15" s="51">
        <f>1/(IMABS(COMPLEX(1-$B15*$B15*$L$4*$L$4,2*$B15*$L$10*$L$4,"j")))</f>
        <v>0.4529839724303917</v>
      </c>
    </row>
    <row r="16" spans="1:10" ht="12.75">
      <c r="A16">
        <v>0.92</v>
      </c>
      <c r="B16" s="51">
        <f t="shared" si="2"/>
        <v>6.829549246934333</v>
      </c>
      <c r="C16" s="51">
        <f t="shared" si="0"/>
        <v>-0.1814744801512287</v>
      </c>
      <c r="D16" s="51">
        <f t="shared" si="1"/>
        <v>0.2173913043478261</v>
      </c>
      <c r="E16" s="51">
        <f>1/(IMABS(COMPLEX(1-$B16*$B16*$L$4*$L$4,2*$B16*$L$5*$L$4,"j")))</f>
        <v>3.531299632010673</v>
      </c>
      <c r="F16" s="51">
        <f>1/(IMABS(COMPLEX(1-$B16*$B16*$L$4*$L$4,2*$B16*$L$6*$L$4,"j")))</f>
        <v>1.7452735050853436</v>
      </c>
      <c r="G16" s="51">
        <f>1/(IMABS(COMPLEX(1-$B16*$B16*$L$4*$L$4,2*$B16*$L$7*$L$4,"j")))</f>
        <v>0.9074397209743877</v>
      </c>
      <c r="H16" s="51">
        <f>1/(IMABS(COMPLEX(1-$B16*$B16*$L$4*$L$4,2*$B16*$L$8*$L$4,"j")))</f>
        <v>0.6461479623440738</v>
      </c>
      <c r="I16" s="51">
        <f>1/(IMABS(COMPLEX(1-$B16*$B16*$L$4*$L$4,2*$B16*$L$9*$L$4,"j")))</f>
        <v>0.5718948996742915</v>
      </c>
      <c r="J16" s="51">
        <f>1/(IMABS(COMPLEX(1-$B16*$B16*$L$4*$L$4,2*$B16*$L$10*$L$4,"j")))</f>
        <v>0.4584055459272099</v>
      </c>
    </row>
    <row r="17" spans="1:10" ht="12.75">
      <c r="A17">
        <v>0.93</v>
      </c>
      <c r="B17" s="51">
        <f t="shared" si="2"/>
        <v>6.7561132335264364</v>
      </c>
      <c r="C17" s="51">
        <f t="shared" si="0"/>
        <v>-0.15620302925193652</v>
      </c>
      <c r="D17" s="51">
        <f t="shared" si="1"/>
        <v>0.21505376344086025</v>
      </c>
      <c r="E17" s="51">
        <f>1/(IMABS(COMPLEX(1-$B17*$B17*$L$4*$L$4,2*$B17*$L$5*$L$4,"j")))</f>
        <v>3.7622840191765436</v>
      </c>
      <c r="F17" s="51">
        <f>1/(IMABS(COMPLEX(1-$B17*$B17*$L$4*$L$4,2*$B17*$L$6*$L$4,"j")))</f>
        <v>1.7861410978170935</v>
      </c>
      <c r="G17" s="51">
        <f>1/(IMABS(COMPLEX(1-$B17*$B17*$L$4*$L$4,2*$B17*$L$7*$L$4,"j")))</f>
        <v>0.9203397211775172</v>
      </c>
      <c r="H17" s="51">
        <f>1/(IMABS(COMPLEX(1-$B17*$B17*$L$4*$L$4,2*$B17*$L$8*$L$4,"j")))</f>
        <v>0.6542649054199656</v>
      </c>
      <c r="I17" s="51">
        <f>1/(IMABS(COMPLEX(1-$B17*$B17*$L$4*$L$4,2*$B17*$L$9*$L$4,"j")))</f>
        <v>0.5788689810067448</v>
      </c>
      <c r="J17" s="51">
        <f>1/(IMABS(COMPLEX(1-$B17*$B17*$L$4*$L$4,2*$B17*$L$10*$L$4,"j")))</f>
        <v>0.4637782186712429</v>
      </c>
    </row>
    <row r="18" spans="1:10" ht="12.75">
      <c r="A18">
        <v>0.94</v>
      </c>
      <c r="B18" s="51">
        <f t="shared" si="2"/>
        <v>6.684239688488922</v>
      </c>
      <c r="C18" s="51">
        <f t="shared" si="0"/>
        <v>-0.13173381620642854</v>
      </c>
      <c r="D18" s="51">
        <f t="shared" si="1"/>
        <v>0.21276595744680854</v>
      </c>
      <c r="E18" s="51">
        <f>1/(IMABS(COMPLEX(1-$B18*$B18*$L$4*$L$4,2*$B18*$L$5*$L$4,"j")))</f>
        <v>3.9960649828825425</v>
      </c>
      <c r="F18" s="51">
        <f>1/(IMABS(COMPLEX(1-$B18*$B18*$L$4*$L$4,2*$B18*$L$6*$L$4,"j")))</f>
        <v>1.8248684043861503</v>
      </c>
      <c r="G18" s="51">
        <f>1/(IMABS(COMPLEX(1-$B18*$B18*$L$4*$L$4,2*$B18*$L$7*$L$4,"j")))</f>
        <v>0.9328749432062912</v>
      </c>
      <c r="H18" s="51">
        <f>1/(IMABS(COMPLEX(1-$B18*$B18*$L$4*$L$4,2*$B18*$L$8*$L$4,"j")))</f>
        <v>0.6622461569960446</v>
      </c>
      <c r="I18" s="51">
        <f>1/(IMABS(COMPLEX(1-$B18*$B18*$L$4*$L$4,2*$B18*$L$9*$L$4,"j")))</f>
        <v>0.5857483694725646</v>
      </c>
      <c r="J18" s="51">
        <f>1/(IMABS(COMPLEX(1-$B18*$B18*$L$4*$L$4,2*$B18*$L$10*$L$4,"j")))</f>
        <v>0.4691017201104257</v>
      </c>
    </row>
    <row r="19" spans="1:10" ht="12.75">
      <c r="A19">
        <v>0.95</v>
      </c>
      <c r="B19" s="51">
        <f t="shared" si="2"/>
        <v>6.613879270715354</v>
      </c>
      <c r="C19" s="51">
        <f t="shared" si="0"/>
        <v>-0.10803324099723</v>
      </c>
      <c r="D19" s="51">
        <f t="shared" si="1"/>
        <v>0.21052631578947373</v>
      </c>
      <c r="E19" s="51">
        <f>1/(IMABS(COMPLEX(1-$B19*$B19*$L$4*$L$4,2*$B19*$L$5*$L$4,"j")))</f>
        <v>4.2260538702480686</v>
      </c>
      <c r="F19" s="51">
        <f>1/(IMABS(COMPLEX(1-$B19*$B19*$L$4*$L$4,2*$B19*$L$6*$L$4,"j")))</f>
        <v>1.8611956732564374</v>
      </c>
      <c r="G19" s="51">
        <f>1/(IMABS(COMPLEX(1-$B19*$B19*$L$4*$L$4,2*$B19*$L$7*$L$4,"j")))</f>
        <v>0.9450358923900402</v>
      </c>
      <c r="H19" s="51">
        <f>1/(IMABS(COMPLEX(1-$B19*$B19*$L$4*$L$4,2*$B19*$L$8*$L$4,"j")))</f>
        <v>0.6700901299230457</v>
      </c>
      <c r="I19" s="51">
        <f>1/(IMABS(COMPLEX(1-$B19*$B19*$L$4*$L$4,2*$B19*$L$9*$L$4,"j")))</f>
        <v>0.5925322503613228</v>
      </c>
      <c r="J19" s="51">
        <f>1/(IMABS(COMPLEX(1-$B19*$B19*$L$4*$L$4,2*$B19*$L$10*$L$4,"j")))</f>
        <v>0.4743758212877786</v>
      </c>
    </row>
    <row r="20" spans="1:10" ht="12.75">
      <c r="A20">
        <v>0.96</v>
      </c>
      <c r="B20" s="51">
        <f t="shared" si="2"/>
        <v>6.544984694978736</v>
      </c>
      <c r="C20" s="51">
        <f t="shared" si="0"/>
        <v>-0.08506944444444464</v>
      </c>
      <c r="D20" s="51">
        <f t="shared" si="1"/>
        <v>0.2083333333333334</v>
      </c>
      <c r="E20" s="51">
        <f>1/(IMABS(COMPLEX(1-$B20*$B20*$L$4*$L$4,2*$B20*$L$5*$L$4,"j")))</f>
        <v>4.44380422479817</v>
      </c>
      <c r="F20" s="51">
        <f>1/(IMABS(COMPLEX(1-$B20*$B20*$L$4*$L$4,2*$B20*$L$6*$L$4,"j")))</f>
        <v>1.894890627774715</v>
      </c>
      <c r="G20" s="51">
        <f>1/(IMABS(COMPLEX(1-$B20*$B20*$L$4*$L$4,2*$B20*$L$7*$L$4,"j")))</f>
        <v>0.956814591519013</v>
      </c>
      <c r="H20" s="51">
        <f>1/(IMABS(COMPLEX(1-$B20*$B20*$L$4*$L$4,2*$B20*$L$8*$L$4,"j")))</f>
        <v>0.6777955052591345</v>
      </c>
      <c r="I20" s="51">
        <f>1/(IMABS(COMPLEX(1-$B20*$B20*$L$4*$L$4,2*$B20*$L$9*$L$4,"j")))</f>
        <v>0.5992199483219326</v>
      </c>
      <c r="J20" s="51">
        <f>1/(IMABS(COMPLEX(1-$B20*$B20*$L$4*$L$4,2*$B20*$L$10*$L$4,"j")))</f>
        <v>0.4796003330557877</v>
      </c>
    </row>
    <row r="21" spans="1:10" ht="12.75">
      <c r="A21">
        <v>0.97</v>
      </c>
      <c r="B21" s="51">
        <f t="shared" si="2"/>
        <v>6.477510625958336</v>
      </c>
      <c r="C21" s="51">
        <f t="shared" si="0"/>
        <v>-0.0628122010840686</v>
      </c>
      <c r="D21" s="51">
        <f t="shared" si="1"/>
        <v>0.2061855670103093</v>
      </c>
      <c r="E21" s="51">
        <f>1/(IMABS(COMPLEX(1-$B21*$B21*$L$4*$L$4,2*$B21*$L$5*$L$4,"j")))</f>
        <v>4.639491640208239</v>
      </c>
      <c r="F21" s="51">
        <f>1/(IMABS(COMPLEX(1-$B21*$B21*$L$4*$L$4,2*$B21*$L$6*$L$4,"j")))</f>
        <v>1.9257551046844625</v>
      </c>
      <c r="G21" s="51">
        <f>1/(IMABS(COMPLEX(1-$B21*$B21*$L$4*$L$4,2*$B21*$L$7*$L$4,"j")))</f>
        <v>0.9682045796517544</v>
      </c>
      <c r="H21" s="51">
        <f>1/(IMABS(COMPLEX(1-$B21*$B21*$L$4*$L$4,2*$B21*$L$8*$L$4,"j")))</f>
        <v>0.6853612243781707</v>
      </c>
      <c r="I21" s="51">
        <f>1/(IMABS(COMPLEX(1-$B21*$B21*$L$4*$L$4,2*$B21*$L$9*$L$4,"j")))</f>
        <v>0.6058109224050874</v>
      </c>
      <c r="J21" s="51">
        <f>1/(IMABS(COMPLEX(1-$B21*$B21*$L$4*$L$4,2*$B21*$L$10*$L$4,"j")))</f>
        <v>0.48477510433304205</v>
      </c>
    </row>
    <row r="22" spans="1:10" ht="12.75">
      <c r="A22">
        <v>0.98</v>
      </c>
      <c r="B22" s="51">
        <f t="shared" si="2"/>
        <v>6.41141357875468</v>
      </c>
      <c r="C22" s="51">
        <f t="shared" si="0"/>
        <v>-0.04123281965847592</v>
      </c>
      <c r="D22" s="51">
        <f t="shared" si="1"/>
        <v>0.20408163265306126</v>
      </c>
      <c r="E22" s="51">
        <f>1/(IMABS(COMPLEX(1-$B22*$B22*$L$4*$L$4,2*$B22*$L$5*$L$4,"j")))</f>
        <v>4.802951078479636</v>
      </c>
      <c r="F22" s="51">
        <f>1/(IMABS(COMPLEX(1-$B22*$B22*$L$4*$L$4,2*$B22*$L$6*$L$4,"j")))</f>
        <v>1.95363053059693</v>
      </c>
      <c r="G22" s="51">
        <f>1/(IMABS(COMPLEX(1-$B22*$B22*$L$4*$L$4,2*$B22*$L$7*$L$4,"j")))</f>
        <v>0.9792008968278229</v>
      </c>
      <c r="H22" s="51">
        <f>1/(IMABS(COMPLEX(1-$B22*$B22*$L$4*$L$4,2*$B22*$L$8*$L$4,"j")))</f>
        <v>0.6927864803848153</v>
      </c>
      <c r="I22" s="51">
        <f>1/(IMABS(COMPLEX(1-$B22*$B22*$L$4*$L$4,2*$B22*$L$9*$L$4,"j")))</f>
        <v>0.6123047609607397</v>
      </c>
      <c r="J22" s="51">
        <f>1/(IMABS(COMPLEX(1-$B22*$B22*$L$4*$L$4,2*$B22*$L$10*$L$4,"j")))</f>
        <v>0.4899000204039997</v>
      </c>
    </row>
    <row r="23" spans="1:10" ht="12.75">
      <c r="A23">
        <v>0.99</v>
      </c>
      <c r="B23" s="51">
        <f t="shared" si="2"/>
        <v>6.346651825433925</v>
      </c>
      <c r="C23" s="51">
        <f t="shared" si="0"/>
        <v>-0.02030405060708107</v>
      </c>
      <c r="D23" s="51">
        <f t="shared" si="1"/>
        <v>0.20202020202020202</v>
      </c>
      <c r="E23" s="51">
        <f>1/(IMABS(COMPLEX(1-$B23*$B23*$L$4*$L$4,2*$B23*$L$5*$L$4,"j")))</f>
        <v>4.925187191810738</v>
      </c>
      <c r="F23" s="51">
        <f>1/(IMABS(COMPLEX(1-$B23*$B23*$L$4*$L$4,2*$B23*$L$6*$L$4,"j")))</f>
        <v>1.9784018964793622</v>
      </c>
      <c r="G23" s="51">
        <f>1/(IMABS(COMPLEX(1-$B23*$B23*$L$4*$L$4,2*$B23*$L$7*$L$4,"j")))</f>
        <v>0.9898000555382163</v>
      </c>
      <c r="H23" s="51">
        <f>1/(IMABS(COMPLEX(1-$B23*$B23*$L$4*$L$4,2*$B23*$L$8*$L$4,"j")))</f>
        <v>0.7000707089276832</v>
      </c>
      <c r="I23" s="51">
        <f>1/(IMABS(COMPLEX(1-$B23*$B23*$L$4*$L$4,2*$B23*$L$9*$L$4,"j")))</f>
        <v>0.6187011764213411</v>
      </c>
      <c r="J23" s="51">
        <f>1/(IMABS(COMPLEX(1-$B23*$B23*$L$4*$L$4,2*$B23*$L$10*$L$4,"j")))</f>
        <v>0.49497500126256255</v>
      </c>
    </row>
    <row r="24" spans="1:10" ht="12.75">
      <c r="A24">
        <v>1</v>
      </c>
      <c r="B24" s="51">
        <f t="shared" si="2"/>
        <v>6.283185307179586</v>
      </c>
      <c r="C24" s="51">
        <f t="shared" si="0"/>
        <v>0</v>
      </c>
      <c r="D24" s="51">
        <f t="shared" si="1"/>
        <v>0.2</v>
      </c>
      <c r="E24" s="51">
        <f>1/(IMABS(COMPLEX(1-$B24*$B24*$L$4*$L$4,2*$B24*$L$5*$L$4,"j")))</f>
        <v>5</v>
      </c>
      <c r="F24" s="51">
        <f>1/(IMABS(COMPLEX(1-$B24*$B24*$L$4*$L$4,2*$B24*$L$6*$L$4,"j")))</f>
        <v>2</v>
      </c>
      <c r="G24" s="51">
        <f>1/(IMABS(COMPLEX(1-$B24*$B24*$L$4*$L$4,2*$B24*$L$7*$L$4,"j")))</f>
        <v>1</v>
      </c>
      <c r="H24" s="51">
        <f>1/(IMABS(COMPLEX(1-$B24*$B24*$L$4*$L$4,2*$B24*$L$8*$L$4,"j")))</f>
        <v>0.7072135785007072</v>
      </c>
      <c r="I24" s="51">
        <f>1/(IMABS(COMPLEX(1-$B24*$B24*$L$4*$L$4,2*$B24*$L$9*$L$4,"j")))</f>
        <v>0.625</v>
      </c>
      <c r="J24" s="51">
        <f>1/(IMABS(COMPLEX(1-$B24*$B24*$L$4*$L$4,2*$B24*$L$10*$L$4,"j")))</f>
        <v>0.5</v>
      </c>
    </row>
    <row r="25" spans="1:10" ht="12.75">
      <c r="A25">
        <v>1.01</v>
      </c>
      <c r="B25" s="51">
        <f t="shared" si="2"/>
        <v>6.220975551662956</v>
      </c>
      <c r="C25" s="51">
        <f t="shared" si="0"/>
        <v>0.019703950593079167</v>
      </c>
      <c r="D25" s="51">
        <f t="shared" si="1"/>
        <v>0.19801980198019803</v>
      </c>
      <c r="E25" s="51">
        <f>1/(IMABS(COMPLEX(1-$B25*$B25*$L$4*$L$4,2*$B25*$L$5*$L$4,"j")))</f>
        <v>5.025183515270448</v>
      </c>
      <c r="F25" s="51">
        <f>1/(IMABS(COMPLEX(1-$B25*$B25*$L$4*$L$4,2*$B25*$L$6*$L$4,"j")))</f>
        <v>2.0184018589739785</v>
      </c>
      <c r="G25" s="51">
        <f>1/(IMABS(COMPLEX(1-$B25*$B25*$L$4*$L$4,2*$B25*$L$7*$L$4,"j")))</f>
        <v>1.0098000544387862</v>
      </c>
      <c r="H25" s="51">
        <f>1/(IMABS(COMPLEX(1-$B25*$B25*$L$4*$L$4,2*$B25*$L$8*$L$4,"j")))</f>
        <v>0.7142149803208091</v>
      </c>
      <c r="I25" s="51">
        <f>1/(IMABS(COMPLEX(1-$B25*$B25*$L$4*$L$4,2*$B25*$L$9*$L$4,"j")))</f>
        <v>0.6312011763313269</v>
      </c>
      <c r="J25" s="51">
        <f>1/(IMABS(COMPLEX(1-$B25*$B25*$L$4*$L$4,2*$B25*$L$10*$L$4,"j")))</f>
        <v>0.5049750012375627</v>
      </c>
    </row>
    <row r="26" spans="1:10" ht="12.75">
      <c r="A26">
        <v>1.02</v>
      </c>
      <c r="B26" s="51">
        <f t="shared" si="2"/>
        <v>6.159985595274104</v>
      </c>
      <c r="C26" s="51">
        <f t="shared" si="0"/>
        <v>0.03883121876201456</v>
      </c>
      <c r="D26" s="51">
        <f t="shared" si="1"/>
        <v>0.19607843137254904</v>
      </c>
      <c r="E26" s="51">
        <f>1/(IMABS(COMPLEX(1-$B26*$B26*$L$4*$L$4,2*$B26*$L$5*$L$4,"j")))</f>
        <v>5.002838991128006</v>
      </c>
      <c r="F26" s="51">
        <f>1/(IMABS(COMPLEX(1-$B26*$B26*$L$4*$L$4,2*$B26*$L$6*$L$4,"j")))</f>
        <v>2.033629339437639</v>
      </c>
      <c r="G26" s="51">
        <f>1/(IMABS(COMPLEX(1-$B26*$B26*$L$4*$L$4,2*$B26*$L$7*$L$4,"j")))</f>
        <v>1.0192008617006807</v>
      </c>
      <c r="H26" s="51">
        <f>1/(IMABS(COMPLEX(1-$B26*$B26*$L$4*$L$4,2*$B26*$L$8*$L$4,"j")))</f>
        <v>0.7210750178674508</v>
      </c>
      <c r="I26" s="51">
        <f>1/(IMABS(COMPLEX(1-$B26*$B26*$L$4*$L$4,2*$B26*$L$9*$L$4,"j")))</f>
        <v>0.6373047580810786</v>
      </c>
      <c r="J26" s="51">
        <f>1/(IMABS(COMPLEX(1-$B26*$B26*$L$4*$L$4,2*$B26*$L$10*$L$4,"j")))</f>
        <v>0.5099000196039992</v>
      </c>
    </row>
    <row r="27" spans="1:10" ht="12.75">
      <c r="A27">
        <v>1.03</v>
      </c>
      <c r="B27" s="51">
        <f t="shared" si="2"/>
        <v>6.100179909883093</v>
      </c>
      <c r="C27" s="51">
        <f t="shared" si="0"/>
        <v>0.05740409086624576</v>
      </c>
      <c r="D27" s="51">
        <f t="shared" si="1"/>
        <v>0.1941747572815534</v>
      </c>
      <c r="E27" s="51">
        <f>1/(IMABS(COMPLEX(1-$B27*$B27*$L$4*$L$4,2*$B27*$L$5*$L$4,"j")))</f>
        <v>4.938704235799218</v>
      </c>
      <c r="F27" s="51">
        <f>1/(IMABS(COMPLEX(1-$B27*$B27*$L$4*$L$4,2*$B27*$L$6*$L$4,"j")))</f>
        <v>2.045746171641163</v>
      </c>
      <c r="G27" s="51">
        <f>1/(IMABS(COMPLEX(1-$B27*$B27*$L$4*$L$4,2*$B27*$L$7*$L$4,"j")))</f>
        <v>1.0282043135942787</v>
      </c>
      <c r="H27" s="51">
        <f>1/(IMABS(COMPLEX(1-$B27*$B27*$L$4*$L$4,2*$B27*$L$8*$L$4,"j")))</f>
        <v>0.7277939961660633</v>
      </c>
      <c r="I27" s="51">
        <f>1/(IMABS(COMPLEX(1-$B27*$B27*$L$4*$L$4,2*$B27*$L$9*$L$4,"j")))</f>
        <v>0.6433109005490154</v>
      </c>
      <c r="J27" s="51">
        <f>1/(IMABS(COMPLEX(1-$B27*$B27*$L$4*$L$4,2*$B27*$L$10*$L$4,"j")))</f>
        <v>0.5147750982580437</v>
      </c>
    </row>
    <row r="28" spans="1:10" ht="12.75">
      <c r="A28">
        <v>1.042</v>
      </c>
      <c r="B28" s="51">
        <f t="shared" si="2"/>
        <v>6.029928317830697</v>
      </c>
      <c r="C28" s="51">
        <f t="shared" si="0"/>
        <v>0.07898954100522759</v>
      </c>
      <c r="D28" s="51">
        <f t="shared" si="1"/>
        <v>0.19193857965451058</v>
      </c>
      <c r="E28" s="51">
        <f>1/(IMABS(COMPLEX(1-$B28*$B28*$L$4*$L$4,2*$B28*$L$5*$L$4,"j")))</f>
        <v>4.817961579699004</v>
      </c>
      <c r="F28" s="51">
        <f>1/(IMABS(COMPLEX(1-$B28*$B28*$L$4*$L$4,2*$B28*$L$6*$L$4,"j")))</f>
        <v>2.0563252462008306</v>
      </c>
      <c r="G28" s="51">
        <f>1/(IMABS(COMPLEX(1-$B28*$B28*$L$4*$L$4,2*$B28*$L$7*$L$4,"j")))</f>
        <v>1.0384883390275381</v>
      </c>
      <c r="H28" s="51">
        <f>1/(IMABS(COMPLEX(1-$B28*$B28*$L$4*$L$4,2*$B28*$L$8*$L$4,"j")))</f>
        <v>0.7356712826018202</v>
      </c>
      <c r="I28" s="51">
        <f>1/(IMABS(COMPLEX(1-$B28*$B28*$L$4*$L$4,2*$B28*$L$9*$L$4,"j")))</f>
        <v>0.6503900137826424</v>
      </c>
      <c r="J28" s="51">
        <f>1/(IMABS(COMPLEX(1-$B28*$B28*$L$4*$L$4,2*$B28*$L$10*$L$4,"j")))</f>
        <v>0.5205593729683692</v>
      </c>
    </row>
    <row r="29" spans="1:10" ht="12.75">
      <c r="A29">
        <v>1.053</v>
      </c>
      <c r="B29" s="51">
        <f t="shared" si="2"/>
        <v>5.966937613655828</v>
      </c>
      <c r="C29" s="51">
        <f t="shared" si="0"/>
        <v>0.09813141848596074</v>
      </c>
      <c r="D29" s="51">
        <f t="shared" si="1"/>
        <v>0.18993352326685664</v>
      </c>
      <c r="E29" s="51">
        <f>1/(IMABS(COMPLEX(1-$B29*$B29*$L$4*$L$4,2*$B29*$L$5*$L$4,"j")))</f>
        <v>4.677571457209011</v>
      </c>
      <c r="F29" s="51">
        <f>1/(IMABS(COMPLEX(1-$B29*$B29*$L$4*$L$4,2*$B29*$L$6*$L$4,"j")))</f>
        <v>2.062417236645689</v>
      </c>
      <c r="G29" s="51">
        <f>1/(IMABS(COMPLEX(1-$B29*$B29*$L$4*$L$4,2*$B29*$L$7*$L$4,"j")))</f>
        <v>1.0474228764463873</v>
      </c>
      <c r="H29" s="51">
        <f>1/(IMABS(COMPLEX(1-$B29*$B29*$L$4*$L$4,2*$B29*$L$8*$L$4,"j")))</f>
        <v>0.7427153390665139</v>
      </c>
      <c r="I29" s="51">
        <f>1/(IMABS(COMPLEX(1-$B29*$B29*$L$4*$L$4,2*$B29*$L$9*$L$4,"j")))</f>
        <v>0.6567567818274893</v>
      </c>
      <c r="J29" s="51">
        <f>1/(IMABS(COMPLEX(1-$B29*$B29*$L$4*$L$4,2*$B29*$L$10*$L$4,"j")))</f>
        <v>0.5257986854191147</v>
      </c>
    </row>
    <row r="30" spans="1:10" ht="12.75">
      <c r="A30">
        <v>1.064</v>
      </c>
      <c r="B30" s="51">
        <f t="shared" si="2"/>
        <v>5.905249348852994</v>
      </c>
      <c r="C30" s="51">
        <f t="shared" si="0"/>
        <v>0.11668268415399408</v>
      </c>
      <c r="D30" s="51">
        <f t="shared" si="1"/>
        <v>0.18796992481203006</v>
      </c>
      <c r="E30" s="51">
        <f>1/(IMABS(COMPLEX(1-$B30*$B30*$L$4*$L$4,2*$B30*$L$5*$L$4,"j")))</f>
        <v>4.519959659247327</v>
      </c>
      <c r="F30" s="51">
        <f>1/(IMABS(COMPLEX(1-$B30*$B30*$L$4*$L$4,2*$B30*$L$6*$L$4,"j")))</f>
        <v>2.065286347189014</v>
      </c>
      <c r="G30" s="51">
        <f>1/(IMABS(COMPLEX(1-$B30*$B30*$L$4*$L$4,2*$B30*$L$7*$L$4,"j")))</f>
        <v>1.0558937051869717</v>
      </c>
      <c r="H30" s="51">
        <f>1/(IMABS(COMPLEX(1-$B30*$B30*$L$4*$L$4,2*$B30*$L$8*$L$4,"j")))</f>
        <v>0.7495914993475222</v>
      </c>
      <c r="I30" s="51">
        <f>1/(IMABS(COMPLEX(1-$B30*$B30*$L$4*$L$4,2*$B30*$L$9*$L$4,"j")))</f>
        <v>0.6630070700005548</v>
      </c>
      <c r="J30" s="51">
        <f>1/(IMABS(COMPLEX(1-$B30*$B30*$L$4*$L$4,2*$B30*$L$10*$L$4,"j")))</f>
        <v>0.5309779672209883</v>
      </c>
    </row>
    <row r="31" spans="1:10" ht="12.75">
      <c r="A31">
        <v>1.075</v>
      </c>
      <c r="B31" s="51">
        <f t="shared" si="2"/>
        <v>5.844823541562406</v>
      </c>
      <c r="C31" s="51">
        <f t="shared" si="0"/>
        <v>0.13466738777717657</v>
      </c>
      <c r="D31" s="51">
        <f t="shared" si="1"/>
        <v>0.186046511627907</v>
      </c>
      <c r="E31" s="51">
        <f>1/(IMABS(COMPLEX(1-$B31*$B31*$L$4*$L$4,2*$B31*$L$5*$L$4,"j")))</f>
        <v>4.354060815961523</v>
      </c>
      <c r="F31" s="51">
        <f>1/(IMABS(COMPLEX(1-$B31*$B31*$L$4*$L$4,2*$B31*$L$6*$L$4,"j")))</f>
        <v>2.0651794079011356</v>
      </c>
      <c r="G31" s="51">
        <f>1/(IMABS(COMPLEX(1-$B31*$B31*$L$4*$L$4,2*$B31*$L$7*$L$4,"j")))</f>
        <v>1.0639093079425266</v>
      </c>
      <c r="H31" s="51">
        <f>1/(IMABS(COMPLEX(1-$B31*$B31*$L$4*$L$4,2*$B31*$L$8*$L$4,"j")))</f>
        <v>0.7563011661213517</v>
      </c>
      <c r="I31" s="51">
        <f>1/(IMABS(COMPLEX(1-$B31*$B31*$L$4*$L$4,2*$B31*$L$9*$L$4,"j")))</f>
        <v>0.669141596546755</v>
      </c>
      <c r="J31" s="51">
        <f>1/(IMABS(COMPLEX(1-$B31*$B31*$L$4*$L$4,2*$B31*$L$10*$L$4,"j")))</f>
        <v>0.5360974195418962</v>
      </c>
    </row>
    <row r="32" spans="1:10" ht="12.75">
      <c r="A32">
        <v>1.087</v>
      </c>
      <c r="B32" s="51">
        <f t="shared" si="2"/>
        <v>5.780299270634394</v>
      </c>
      <c r="C32" s="51">
        <f t="shared" si="0"/>
        <v>0.15366770793749662</v>
      </c>
      <c r="D32" s="51">
        <f t="shared" si="1"/>
        <v>0.18399264029438825</v>
      </c>
      <c r="E32" s="51">
        <f>1/(IMABS(COMPLEX(1-$B32*$B32*$L$4*$L$4,2*$B32*$L$5*$L$4,"j")))</f>
        <v>4.171483450136041</v>
      </c>
      <c r="F32" s="51">
        <f>1/(IMABS(COMPLEX(1-$B32*$B32*$L$4*$L$4,2*$B32*$L$6*$L$4,"j")))</f>
        <v>2.0619791099361953</v>
      </c>
      <c r="G32" s="51">
        <f>1/(IMABS(COMPLEX(1-$B32*$B32*$L$4*$L$4,2*$B32*$L$7*$L$4,"j")))</f>
        <v>1.0721457740130838</v>
      </c>
      <c r="H32" s="51">
        <f>1/(IMABS(COMPLEX(1-$B32*$B32*$L$4*$L$4,2*$B32*$L$8*$L$4,"j")))</f>
        <v>0.763432815784466</v>
      </c>
      <c r="I32" s="51">
        <f>1/(IMABS(COMPLEX(1-$B32*$B32*$L$4*$L$4,2*$B32*$L$9*$L$4,"j")))</f>
        <v>0.6757027561318217</v>
      </c>
      <c r="J32" s="51">
        <f>1/(IMABS(COMPLEX(1-$B32*$B32*$L$4*$L$4,2*$B32*$L$10*$L$4,"j")))</f>
        <v>0.5416143152015827</v>
      </c>
    </row>
    <row r="33" spans="1:10" ht="12.75">
      <c r="A33">
        <v>1.099</v>
      </c>
      <c r="B33" s="51">
        <f t="shared" si="2"/>
        <v>5.717184082965956</v>
      </c>
      <c r="C33" s="51">
        <f t="shared" si="0"/>
        <v>0.17204903787958448</v>
      </c>
      <c r="D33" s="51">
        <f t="shared" si="1"/>
        <v>0.18198362147406735</v>
      </c>
      <c r="E33" s="51">
        <f>1/(IMABS(COMPLEX(1-$B33*$B33*$L$4*$L$4,2*$B33*$L$5*$L$4,"j")))</f>
        <v>3.9930132308856905</v>
      </c>
      <c r="F33" s="51">
        <f>1/(IMABS(COMPLEX(1-$B33*$B33*$L$4*$L$4,2*$B33*$L$6*$L$4,"j")))</f>
        <v>2.0559051850430063</v>
      </c>
      <c r="G33" s="51">
        <f>1/(IMABS(COMPLEX(1-$B33*$B33*$L$4*$L$4,2*$B33*$L$7*$L$4,"j")))</f>
        <v>1.079865857320102</v>
      </c>
      <c r="H33" s="51">
        <f>1/(IMABS(COMPLEX(1-$B33*$B33*$L$4*$L$4,2*$B33*$L$8*$L$4,"j")))</f>
        <v>0.7703705955215376</v>
      </c>
      <c r="I33" s="51">
        <f>1/(IMABS(COMPLEX(1-$B33*$B33*$L$4*$L$4,2*$B33*$L$9*$L$4,"j")))</f>
        <v>0.68212834572765</v>
      </c>
      <c r="J33" s="51">
        <f>1/(IMABS(COMPLEX(1-$B33*$B33*$L$4*$L$4,2*$B33*$L$10*$L$4,"j")))</f>
        <v>0.5470606272938559</v>
      </c>
    </row>
    <row r="34" spans="1:10" ht="12.75">
      <c r="A34">
        <v>1.11</v>
      </c>
      <c r="B34" s="51">
        <f t="shared" si="2"/>
        <v>5.6605273037653925</v>
      </c>
      <c r="C34" s="51">
        <f t="shared" si="0"/>
        <v>0.1883775667559452</v>
      </c>
      <c r="D34" s="51">
        <f t="shared" si="1"/>
        <v>0.18018018018018017</v>
      </c>
      <c r="E34" s="51">
        <f>1/(IMABS(COMPLEX(1-$B34*$B34*$L$4*$L$4,2*$B34*$L$5*$L$4,"j")))</f>
        <v>3.8362072155017644</v>
      </c>
      <c r="F34" s="51">
        <f>1/(IMABS(COMPLEX(1-$B34*$B34*$L$4*$L$4,2*$B34*$L$6*$L$4,"j")))</f>
        <v>2.048115386031218</v>
      </c>
      <c r="G34" s="51">
        <f>1/(IMABS(COMPLEX(1-$B34*$B34*$L$4*$L$4,2*$B34*$L$7*$L$4,"j")))</f>
        <v>1.0865018490337985</v>
      </c>
      <c r="H34" s="51">
        <f>1/(IMABS(COMPLEX(1-$B34*$B34*$L$4*$L$4,2*$B34*$L$8*$L$4,"j")))</f>
        <v>0.7765621298694287</v>
      </c>
      <c r="I34" s="51">
        <f>1/(IMABS(COMPLEX(1-$B34*$B34*$L$4*$L$4,2*$B34*$L$9*$L$4,"j")))</f>
        <v>0.687900517761916</v>
      </c>
      <c r="J34" s="51">
        <f>1/(IMABS(COMPLEX(1-$B34*$B34*$L$4*$L$4,2*$B34*$L$10*$L$4,"j")))</f>
        <v>0.5519913982348467</v>
      </c>
    </row>
    <row r="35" spans="1:10" ht="12.75">
      <c r="A35">
        <v>1.149</v>
      </c>
      <c r="B35" s="51">
        <f t="shared" si="2"/>
        <v>5.468394523219831</v>
      </c>
      <c r="C35" s="51">
        <f t="shared" si="0"/>
        <v>0.24253958298774214</v>
      </c>
      <c r="D35" s="51">
        <f t="shared" si="1"/>
        <v>0.1740644038294169</v>
      </c>
      <c r="E35" s="51">
        <f>1/(IMABS(COMPLEX(1-$B35*$B35*$L$4*$L$4,2*$B35*$L$5*$L$4,"j")))</f>
        <v>3.349677464794695</v>
      </c>
      <c r="F35" s="51">
        <f>1/(IMABS(COMPLEX(1-$B35*$B35*$L$4*$L$4,2*$B35*$L$6*$L$4,"j")))</f>
        <v>2.0072773133635957</v>
      </c>
      <c r="G35" s="51">
        <f>1/(IMABS(COMPLEX(1-$B35*$B35*$L$4*$L$4,2*$B35*$L$7*$L$4,"j")))</f>
        <v>1.1068247489468401</v>
      </c>
      <c r="H35" s="51">
        <f>1/(IMABS(COMPLEX(1-$B35*$B35*$L$4*$L$4,2*$B35*$L$8*$L$4,"j")))</f>
        <v>0.7972522941703103</v>
      </c>
      <c r="I35" s="51">
        <f>1/(IMABS(COMPLEX(1-$B35*$B35*$L$4*$L$4,2*$B35*$L$9*$L$4,"j")))</f>
        <v>0.7074740348622074</v>
      </c>
      <c r="J35" s="51">
        <f>1/(IMABS(COMPLEX(1-$B35*$B35*$L$4*$L$4,2*$B35*$L$10*$L$4,"j")))</f>
        <v>0.5690028579420486</v>
      </c>
    </row>
    <row r="36" spans="1:10" ht="12.75">
      <c r="A36">
        <v>1.176</v>
      </c>
      <c r="B36" s="51">
        <f t="shared" si="2"/>
        <v>5.342844648962234</v>
      </c>
      <c r="C36" s="51">
        <f t="shared" si="0"/>
        <v>0.2769216530149473</v>
      </c>
      <c r="D36" s="51">
        <f t="shared" si="1"/>
        <v>0.17006802721088438</v>
      </c>
      <c r="E36" s="51">
        <f>1/(IMABS(COMPLEX(1-$B36*$B36*$L$4*$L$4,2*$B36*$L$5*$L$4,"j")))</f>
        <v>3.077159997678136</v>
      </c>
      <c r="F36" s="51">
        <f>1/(IMABS(COMPLEX(1-$B36*$B36*$L$4*$L$4,2*$B36*$L$6*$L$4,"j")))</f>
        <v>1.9708300502865095</v>
      </c>
      <c r="G36" s="51">
        <f>1/(IMABS(COMPLEX(1-$B36*$B36*$L$4*$L$4,2*$B36*$L$7*$L$4,"j")))</f>
        <v>1.1181989709860518</v>
      </c>
      <c r="H36" s="51">
        <f>1/(IMABS(COMPLEX(1-$B36*$B36*$L$4*$L$4,2*$B36*$L$8*$L$4,"j")))</f>
        <v>0.8104660362037869</v>
      </c>
      <c r="I36" s="51">
        <f>1/(IMABS(COMPLEX(1-$B36*$B36*$L$4*$L$4,2*$B36*$L$9*$L$4,"j")))</f>
        <v>0.7202326789964861</v>
      </c>
      <c r="J36" s="51">
        <f>1/(IMABS(COMPLEX(1-$B36*$B36*$L$4*$L$4,2*$B36*$L$10*$L$4,"j")))</f>
        <v>0.5803566632647592</v>
      </c>
    </row>
    <row r="37" spans="1:10" ht="12.75">
      <c r="A37">
        <v>1.25</v>
      </c>
      <c r="B37" s="51">
        <f t="shared" si="2"/>
        <v>5.026548245743669</v>
      </c>
      <c r="C37" s="51">
        <f t="shared" si="0"/>
        <v>0.3599999999999999</v>
      </c>
      <c r="D37" s="51">
        <f t="shared" si="1"/>
        <v>0.16000000000000003</v>
      </c>
      <c r="E37" s="51">
        <f>1/(IMABS(COMPLEX(1-$B37*$B37*$L$4*$L$4,2*$B37*$L$5*$L$4,"j")))</f>
        <v>2.5383654128340476</v>
      </c>
      <c r="F37" s="51">
        <f>1/(IMABS(COMPLEX(1-$B37*$B37*$L$4*$L$4,2*$B37*$L$6*$L$4,"j")))</f>
        <v>1.858235365617916</v>
      </c>
      <c r="G37" s="51">
        <f>1/(IMABS(COMPLEX(1-$B37*$B37*$L$4*$L$4,2*$B37*$L$7*$L$4,"j")))</f>
        <v>1.139901881468883</v>
      </c>
      <c r="H37" s="51">
        <f>1/(IMABS(COMPLEX(1-$B37*$B37*$L$4*$L$4,2*$B37*$L$8*$L$4,"j")))</f>
        <v>0.8423869140743475</v>
      </c>
      <c r="I37" s="51">
        <f>1/(IMABS(COMPLEX(1-$B37*$B37*$L$4*$L$4,2*$B37*$L$9*$L$4,"j")))</f>
        <v>0.7520710469952335</v>
      </c>
      <c r="J37" s="51">
        <f>1/(IMABS(COMPLEX(1-$B37*$B37*$L$4*$L$4,2*$B37*$L$10*$L$4,"j")))</f>
        <v>0.6097560975609756</v>
      </c>
    </row>
    <row r="38" spans="1:10" ht="12.75">
      <c r="A38">
        <v>1.4285714285714286</v>
      </c>
      <c r="B38" s="51">
        <f t="shared" si="2"/>
        <v>4.39822971502571</v>
      </c>
      <c r="C38" s="51">
        <f t="shared" si="0"/>
        <v>0.51</v>
      </c>
      <c r="D38" s="51">
        <f t="shared" si="1"/>
        <v>0.14</v>
      </c>
      <c r="E38" s="51">
        <f>1/(IMABS(COMPLEX(1-$B38*$B38*$L$4*$L$4,2*$B38*$L$5*$L$4,"j")))</f>
        <v>1.8908355841512123</v>
      </c>
      <c r="F38" s="51">
        <f>1/(IMABS(COMPLEX(1-$B38*$B38*$L$4*$L$4,2*$B38*$L$6*$L$4,"j")))</f>
        <v>1.616692848321183</v>
      </c>
      <c r="G38" s="51">
        <f>1/(IMABS(COMPLEX(1-$B38*$B38*$L$4*$L$4,2*$B38*$L$7*$L$4,"j")))</f>
        <v>1.154623566040508</v>
      </c>
      <c r="H38" s="51">
        <f>1/(IMABS(COMPLEX(1-$B38*$B38*$L$4*$L$4,2*$B38*$L$8*$L$4,"j")))</f>
        <v>0.8980974771238897</v>
      </c>
      <c r="I38" s="51">
        <f>1/(IMABS(COMPLEX(1-$B38*$B38*$L$4*$L$4,2*$B38*$L$9*$L$4,"j")))</f>
        <v>0.8125785636395395</v>
      </c>
      <c r="J38" s="51">
        <f>1/(IMABS(COMPLEX(1-$B38*$B38*$L$4*$L$4,2*$B38*$L$10*$L$4,"j")))</f>
        <v>0.6711409395973155</v>
      </c>
    </row>
    <row r="39" spans="1:10" ht="12.75">
      <c r="A39">
        <v>1.6666666666666667</v>
      </c>
      <c r="B39" s="51">
        <f t="shared" si="2"/>
        <v>3.7699111843077517</v>
      </c>
      <c r="C39" s="51">
        <f t="shared" si="0"/>
        <v>0.6399999999999999</v>
      </c>
      <c r="D39" s="51">
        <f t="shared" si="1"/>
        <v>0.12000000000000001</v>
      </c>
      <c r="E39" s="51">
        <f>1/(IMABS(COMPLEX(1-$B39*$B39*$L$4*$L$4,2*$B39*$L$5*$L$4,"j")))</f>
        <v>1.535737792084878</v>
      </c>
      <c r="F39" s="51">
        <f>1/(IMABS(COMPLEX(1-$B39*$B39*$L$4*$L$4,2*$B39*$L$6*$L$4,"j")))</f>
        <v>1.4147795874357318</v>
      </c>
      <c r="G39" s="51">
        <f>1/(IMABS(COMPLEX(1-$B39*$B39*$L$4*$L$4,2*$B39*$L$7*$L$4,"j")))</f>
        <v>1.139901881468883</v>
      </c>
      <c r="H39" s="51">
        <f>1/(IMABS(COMPLEX(1-$B39*$B39*$L$4*$L$4,2*$B39*$L$8*$L$4,"j")))</f>
        <v>0.94097798202616</v>
      </c>
      <c r="I39" s="51">
        <f>1/(IMABS(COMPLEX(1-$B39*$B39*$L$4*$L$4,2*$B39*$L$9*$L$4,"j")))</f>
        <v>0.8667190566019206</v>
      </c>
      <c r="J39" s="51">
        <f>1/(IMABS(COMPLEX(1-$B39*$B39*$L$4*$L$4,2*$B39*$L$10*$L$4,"j")))</f>
        <v>0.7352941176470589</v>
      </c>
    </row>
    <row r="40" spans="1:10" ht="12.75">
      <c r="A40">
        <v>2</v>
      </c>
      <c r="B40" s="51">
        <f t="shared" si="2"/>
        <v>3.141592653589793</v>
      </c>
      <c r="C40" s="51">
        <f t="shared" si="0"/>
        <v>0.75</v>
      </c>
      <c r="D40" s="51">
        <f t="shared" si="1"/>
        <v>0.1</v>
      </c>
      <c r="E40" s="51">
        <f>1/(IMABS(COMPLEX(1-$B40*$B40*$L$4*$L$4,2*$B40*$L$5*$L$4,"j")))</f>
        <v>1.3216372009101796</v>
      </c>
      <c r="F40" s="51">
        <f>1/(IMABS(COMPLEX(1-$B40*$B40*$L$4*$L$4,2*$B40*$L$6*$L$4,"j")))</f>
        <v>1.2649110640673518</v>
      </c>
      <c r="G40" s="51">
        <f>1/(IMABS(COMPLEX(1-$B40*$B40*$L$4*$L$4,2*$B40*$L$7*$L$4,"j")))</f>
        <v>1.109400392450458</v>
      </c>
      <c r="H40" s="51">
        <f>1/(IMABS(COMPLEX(1-$B40*$B40*$L$4*$L$4,2*$B40*$L$8*$L$4,"j")))</f>
        <v>0.9702114446788113</v>
      </c>
      <c r="I40" s="51">
        <f>1/(IMABS(COMPLEX(1-$B40*$B40*$L$4*$L$4,2*$B40*$L$9*$L$4,"j")))</f>
        <v>0.9119215051751063</v>
      </c>
      <c r="J40" s="51">
        <f>1/(IMABS(COMPLEX(1-$B40*$B40*$L$4*$L$4,2*$B40*$L$10*$L$4,"j")))</f>
        <v>0.8</v>
      </c>
    </row>
    <row r="41" spans="1:10" ht="12.75">
      <c r="A41">
        <v>2.5</v>
      </c>
      <c r="B41" s="51">
        <f t="shared" si="2"/>
        <v>2.5132741228718345</v>
      </c>
      <c r="C41" s="51">
        <f t="shared" si="0"/>
        <v>0.84</v>
      </c>
      <c r="D41" s="51">
        <f t="shared" si="1"/>
        <v>0.08000000000000002</v>
      </c>
      <c r="E41" s="51">
        <f>1/(IMABS(COMPLEX(1-$B41*$B41*$L$4*$L$4,2*$B41*$L$5*$L$4,"j")))</f>
        <v>1.185113657849943</v>
      </c>
      <c r="F41" s="51">
        <f>1/(IMABS(COMPLEX(1-$B41*$B41*$L$4*$L$4,2*$B41*$L$6*$L$4,"j")))</f>
        <v>1.1581026365301985</v>
      </c>
      <c r="G41" s="51">
        <f>1/(IMABS(COMPLEX(1-$B41*$B41*$L$4*$L$4,2*$B41*$L$7*$L$4,"j")))</f>
        <v>1.0748339509808695</v>
      </c>
      <c r="H41" s="51">
        <f>1/(IMABS(COMPLEX(1-$B41*$B41*$L$4*$L$4,2*$B41*$L$8*$L$4,"j")))</f>
        <v>0.9874871573686608</v>
      </c>
      <c r="I41" s="51">
        <f>1/(IMABS(COMPLEX(1-$B41*$B41*$L$4*$L$4,2*$B41*$L$9*$L$4,"j")))</f>
        <v>0.9469425238482128</v>
      </c>
      <c r="J41" s="51">
        <f>1/(IMABS(COMPLEX(1-$B41*$B41*$L$4*$L$4,2*$B41*$L$10*$L$4,"j")))</f>
        <v>0.8620689655172413</v>
      </c>
    </row>
    <row r="42" spans="1:10" ht="12.75">
      <c r="A42">
        <v>3.3333333333333335</v>
      </c>
      <c r="B42" s="51">
        <f t="shared" si="2"/>
        <v>1.8849555921538759</v>
      </c>
      <c r="C42" s="51">
        <f t="shared" si="0"/>
        <v>0.91</v>
      </c>
      <c r="D42" s="51">
        <f t="shared" si="1"/>
        <v>0.060000000000000005</v>
      </c>
      <c r="E42" s="51">
        <f>1/(IMABS(COMPLEX(1-$B42*$B42*$L$4*$L$4,2*$B42*$L$5*$L$4,"j")))</f>
        <v>1.0965202319032639</v>
      </c>
      <c r="F42" s="51">
        <f>1/(IMABS(COMPLEX(1-$B42*$B42*$L$4*$L$4,2*$B42*$L$6*$L$4,"j")))</f>
        <v>1.0842696731877572</v>
      </c>
      <c r="G42" s="51">
        <f>1/(IMABS(COMPLEX(1-$B42*$B42*$L$4*$L$4,2*$B42*$L$7*$L$4,"j")))</f>
        <v>1.043650309657746</v>
      </c>
      <c r="H42" s="51">
        <f>1/(IMABS(COMPLEX(1-$B42*$B42*$L$4*$L$4,2*$B42*$L$8*$L$4,"j")))</f>
        <v>0.9960012930046184</v>
      </c>
      <c r="I42" s="51">
        <f>1/(IMABS(COMPLEX(1-$B42*$B42*$L$4*$L$4,2*$B42*$L$9*$L$4,"j")))</f>
        <v>0.9719738231534876</v>
      </c>
      <c r="J42" s="51">
        <f>1/(IMABS(COMPLEX(1-$B42*$B42*$L$4*$L$4,2*$B42*$L$10*$L$4,"j")))</f>
        <v>0.9174311926605504</v>
      </c>
    </row>
    <row r="43" spans="1:10" ht="12.75">
      <c r="A43">
        <v>5</v>
      </c>
      <c r="B43" s="51">
        <f t="shared" si="2"/>
        <v>1.2566370614359172</v>
      </c>
      <c r="C43" s="51">
        <f t="shared" si="0"/>
        <v>0.96</v>
      </c>
      <c r="D43" s="51">
        <f t="shared" si="1"/>
        <v>0.04000000000000001</v>
      </c>
      <c r="E43" s="51">
        <f>1/(IMABS(COMPLEX(1-$B43*$B43*$L$4*$L$4,2*$B43*$L$5*$L$4,"j")))</f>
        <v>1.0407636178045334</v>
      </c>
      <c r="F43" s="51">
        <f>1/(IMABS(COMPLEX(1-$B43*$B43*$L$4*$L$4,2*$B43*$L$6*$L$4,"j")))</f>
        <v>1.0360608425945603</v>
      </c>
      <c r="G43" s="51">
        <f>1/(IMABS(COMPLEX(1-$B43*$B43*$L$4*$L$4,2*$B43*$L$7*$L$4,"j")))</f>
        <v>1.0197712705600053</v>
      </c>
      <c r="H43" s="51">
        <f>1/(IMABS(COMPLEX(1-$B43*$B43*$L$4*$L$4,2*$B43*$L$8*$L$4,"j")))</f>
        <v>0.9992130100056862</v>
      </c>
      <c r="I43" s="51">
        <f>1/(IMABS(COMPLEX(1-$B43*$B43*$L$4*$L$4,2*$B43*$L$9*$L$4,"j")))</f>
        <v>0.9882117688026186</v>
      </c>
      <c r="J43" s="51">
        <f>1/(IMABS(COMPLEX(1-$B43*$B43*$L$4*$L$4,2*$B43*$L$10*$L$4,"j")))</f>
        <v>0.9615384615384617</v>
      </c>
    </row>
    <row r="44" spans="1:10" ht="12.75">
      <c r="A44">
        <v>10</v>
      </c>
      <c r="B44" s="51">
        <f t="shared" si="2"/>
        <v>0.6283185307179586</v>
      </c>
      <c r="C44" s="51">
        <f t="shared" si="0"/>
        <v>0.99</v>
      </c>
      <c r="D44" s="51">
        <f t="shared" si="1"/>
        <v>0.020000000000000004</v>
      </c>
      <c r="E44" s="51">
        <f>1/(IMABS(COMPLEX(1-$B44*$B44*$L$4*$L$4,2*$B44*$L$5*$L$4,"j")))</f>
        <v>1.0098949511412774</v>
      </c>
      <c r="F44" s="51">
        <f>1/(IMABS(COMPLEX(1-$B44*$B44*$L$4*$L$4,2*$B44*$L$6*$L$4,"j")))</f>
        <v>1.0088152067206402</v>
      </c>
      <c r="G44" s="51">
        <f>1/(IMABS(COMPLEX(1-$B44*$B44*$L$4*$L$4,2*$B44*$L$7*$L$4,"j")))</f>
        <v>1.0049870596186847</v>
      </c>
      <c r="H44" s="51">
        <f>1/(IMABS(COMPLEX(1-$B44*$B44*$L$4*$L$4,2*$B44*$L$8*$L$4,"j")))</f>
        <v>0.9999530233104211</v>
      </c>
      <c r="I44" s="51">
        <f>1/(IMABS(COMPLEX(1-$B44*$B44*$L$4*$L$4,2*$B44*$L$9*$L$4,"j")))</f>
        <v>0.997162126164355</v>
      </c>
      <c r="J44" s="51">
        <f>1/(IMABS(COMPLEX(1-$B44*$B44*$L$4*$L$4,2*$B44*$L$10*$L$4,"j")))</f>
        <v>0.9900990099009901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zoomScale="85" zoomScaleNormal="85" workbookViewId="0" topLeftCell="A70">
      <selection activeCell="N111" sqref="N111"/>
    </sheetView>
  </sheetViews>
  <sheetFormatPr defaultColWidth="9.140625" defaultRowHeight="12.75"/>
  <cols>
    <col min="1" max="1" width="9.421875" style="0" customWidth="1"/>
    <col min="2" max="2" width="11.421875" style="0" customWidth="1"/>
    <col min="3" max="4" width="10.421875" style="0" customWidth="1"/>
    <col min="6" max="6" width="13.28125" style="0" customWidth="1"/>
    <col min="7" max="7" width="10.421875" style="0" customWidth="1"/>
    <col min="8" max="8" width="11.421875" style="0" customWidth="1"/>
    <col min="9" max="9" width="9.28125" style="0" customWidth="1"/>
    <col min="10" max="10" width="10.140625" style="0" bestFit="1" customWidth="1"/>
    <col min="11" max="11" width="9.421875" style="0" bestFit="1" customWidth="1"/>
    <col min="12" max="12" width="12.421875" style="0" bestFit="1" customWidth="1"/>
  </cols>
  <sheetData>
    <row r="1" spans="2:4" ht="12.75">
      <c r="B1" s="1"/>
      <c r="C1" s="1">
        <v>2.4E-05</v>
      </c>
      <c r="D1" s="1"/>
    </row>
    <row r="2" spans="2:4" ht="12.75">
      <c r="B2" s="1"/>
      <c r="C2" s="1">
        <v>1.72E-06</v>
      </c>
      <c r="D2" s="1"/>
    </row>
    <row r="3" spans="2:4" ht="12.75">
      <c r="B3" s="1"/>
      <c r="C3">
        <f>1/80</f>
        <v>0.0125</v>
      </c>
      <c r="D3" s="1" t="s">
        <v>0</v>
      </c>
    </row>
    <row r="4" spans="2:4" ht="12.75">
      <c r="B4" s="1"/>
      <c r="C4" s="1">
        <v>9.3E-06</v>
      </c>
      <c r="D4" s="2"/>
    </row>
    <row r="5" spans="3:6" ht="12.75">
      <c r="C5" t="s">
        <v>6</v>
      </c>
      <c r="D5" s="5">
        <v>1</v>
      </c>
      <c r="E5" s="5" t="s">
        <v>4</v>
      </c>
      <c r="F5" s="5" t="s">
        <v>5</v>
      </c>
    </row>
    <row r="6" spans="3:6" ht="12.75">
      <c r="C6" t="s">
        <v>3</v>
      </c>
      <c r="D6" s="1"/>
      <c r="E6" s="1">
        <f>D8/2</f>
        <v>0.042083333333333334</v>
      </c>
      <c r="F6" s="1">
        <f>SQRT(4*D9-D8*D8)/2</f>
        <v>0.06299663791734357</v>
      </c>
    </row>
    <row r="7" ht="12.75">
      <c r="D7" s="1"/>
    </row>
    <row r="8" spans="3:4" ht="12.75">
      <c r="C8" t="s">
        <v>1</v>
      </c>
      <c r="D8" s="1">
        <f>C2/C1+C3</f>
        <v>0.08416666666666667</v>
      </c>
    </row>
    <row r="9" spans="3:4" ht="12.75">
      <c r="C9" t="s">
        <v>2</v>
      </c>
      <c r="D9" s="1">
        <f>C3/C1*(C2+C4)</f>
        <v>0.005739583333333334</v>
      </c>
    </row>
    <row r="11" spans="4:5" ht="12.75">
      <c r="D11" s="1"/>
      <c r="E11" s="1"/>
    </row>
    <row r="12" spans="1:12" ht="12.75">
      <c r="A12" s="7" t="s">
        <v>10</v>
      </c>
      <c r="B12" s="7" t="s">
        <v>12</v>
      </c>
      <c r="C12" s="7" t="s">
        <v>9</v>
      </c>
      <c r="D12" s="52" t="s">
        <v>7</v>
      </c>
      <c r="E12" s="52" t="s">
        <v>4</v>
      </c>
      <c r="F12" s="7" t="s">
        <v>5</v>
      </c>
      <c r="G12" s="7" t="s">
        <v>8</v>
      </c>
      <c r="H12" s="7" t="s">
        <v>4</v>
      </c>
      <c r="I12" s="7" t="s">
        <v>5</v>
      </c>
      <c r="J12" s="7" t="s">
        <v>11</v>
      </c>
      <c r="K12" s="7" t="s">
        <v>13</v>
      </c>
      <c r="L12" s="7" t="s">
        <v>14</v>
      </c>
    </row>
    <row r="13" spans="4:9" ht="12.75">
      <c r="D13" s="3"/>
      <c r="G13" s="3"/>
      <c r="H13" s="3"/>
      <c r="I13" s="1"/>
    </row>
    <row r="15" spans="1:12" ht="12.75">
      <c r="A15" s="1">
        <v>0.0001</v>
      </c>
      <c r="B15" s="4">
        <f aca="true" t="shared" si="0" ref="B15:B61">LOG10(A15)</f>
        <v>-4</v>
      </c>
      <c r="C15" s="4">
        <f aca="true" t="shared" si="1" ref="C15:C61">2*PI()*A15</f>
        <v>0.0006283185307179586</v>
      </c>
      <c r="D15" s="4">
        <f aca="true" t="shared" si="2" ref="D15:D30">SQRT(E15*E15+F15*F15)</f>
        <v>0.01251578140493208</v>
      </c>
      <c r="E15">
        <f>$C$3</f>
        <v>0.0125</v>
      </c>
      <c r="F15">
        <f aca="true" t="shared" si="3" ref="F15:F30">C15</f>
        <v>0.0006283185307179586</v>
      </c>
      <c r="G15" s="4">
        <f aca="true" t="shared" si="4" ref="G15:G30">SQRT(H15*H15+I15*I15)</f>
        <v>0.005739188904643074</v>
      </c>
      <c r="H15" s="4">
        <f aca="true" t="shared" si="5" ref="H15:H30">$C$3/$C$1*($C$2+$C$4)-C15*C15</f>
        <v>0.005739188549157291</v>
      </c>
      <c r="I15" s="1">
        <f>$C$1*(+$C$2/$C$1+$C$3)</f>
        <v>2.02E-06</v>
      </c>
      <c r="J15" s="1">
        <f aca="true" t="shared" si="6" ref="J15:J30">D15/G15</f>
        <v>2.180757875874526</v>
      </c>
      <c r="K15" s="1">
        <f aca="true" t="shared" si="7" ref="K15:K30">J15*C15</f>
        <v>0.0013702105844210985</v>
      </c>
      <c r="L15" s="6">
        <f aca="true" t="shared" si="8" ref="L15:L55">20*LOG10(J15)</f>
        <v>6.772148992373084</v>
      </c>
    </row>
    <row r="16" spans="1:12" ht="12.75">
      <c r="A16" s="1">
        <v>0.00015</v>
      </c>
      <c r="B16" s="4">
        <f t="shared" si="0"/>
        <v>-3.8239087409443187</v>
      </c>
      <c r="C16" s="4">
        <f t="shared" si="1"/>
        <v>0.0009424777960769378</v>
      </c>
      <c r="D16" s="4">
        <f t="shared" si="2"/>
        <v>0.012535480221997804</v>
      </c>
      <c r="E16">
        <f aca="true" t="shared" si="9" ref="E16:E61">$C$3</f>
        <v>0.0125</v>
      </c>
      <c r="F16">
        <f t="shared" si="3"/>
        <v>0.0009424777960769378</v>
      </c>
      <c r="G16" s="4">
        <f t="shared" si="4"/>
        <v>0.005738695424453589</v>
      </c>
      <c r="H16" s="4">
        <f t="shared" si="5"/>
        <v>0.005738695068937236</v>
      </c>
      <c r="I16" s="1">
        <f aca="true" t="shared" si="10" ref="I16:I61">$C$1*(+$C$2/$C$1+$C$3)</f>
        <v>2.02E-06</v>
      </c>
      <c r="J16" s="1">
        <f t="shared" si="6"/>
        <v>2.1843780327810953</v>
      </c>
      <c r="K16" s="1">
        <f t="shared" si="7"/>
        <v>0.002058727794134404</v>
      </c>
      <c r="L16" s="6">
        <f t="shared" si="8"/>
        <v>6.786556007975814</v>
      </c>
    </row>
    <row r="17" spans="1:12" ht="12.75">
      <c r="A17" s="1">
        <v>0.0002</v>
      </c>
      <c r="B17" s="4">
        <f t="shared" si="0"/>
        <v>-3.6989700043360187</v>
      </c>
      <c r="C17" s="4">
        <f t="shared" si="1"/>
        <v>0.0012566370614359172</v>
      </c>
      <c r="D17" s="4">
        <f t="shared" si="2"/>
        <v>0.012563006674525583</v>
      </c>
      <c r="E17">
        <f t="shared" si="9"/>
        <v>0.0125</v>
      </c>
      <c r="F17">
        <f t="shared" si="3"/>
        <v>0.0012566370614359172</v>
      </c>
      <c r="G17" s="4">
        <f t="shared" si="4"/>
        <v>0.005738004552188317</v>
      </c>
      <c r="H17" s="4">
        <f t="shared" si="5"/>
        <v>0.00573800419662916</v>
      </c>
      <c r="I17" s="1">
        <f t="shared" si="10"/>
        <v>2.02E-06</v>
      </c>
      <c r="J17" s="1">
        <f t="shared" si="6"/>
        <v>2.1894382551046245</v>
      </c>
      <c r="K17" s="1">
        <f t="shared" si="7"/>
        <v>0.0027513292550900574</v>
      </c>
      <c r="L17" s="6">
        <f t="shared" si="8"/>
        <v>6.806654041072514</v>
      </c>
    </row>
    <row r="18" spans="1:12" ht="12.75">
      <c r="A18" s="1">
        <v>0.0003</v>
      </c>
      <c r="B18" s="4">
        <f t="shared" si="0"/>
        <v>-3.5228787452803374</v>
      </c>
      <c r="C18" s="4">
        <f t="shared" si="1"/>
        <v>0.0018849555921538756</v>
      </c>
      <c r="D18" s="4">
        <f t="shared" si="2"/>
        <v>0.012641323411114526</v>
      </c>
      <c r="E18">
        <f t="shared" si="9"/>
        <v>0.0125</v>
      </c>
      <c r="F18">
        <f t="shared" si="3"/>
        <v>0.0018849555921538756</v>
      </c>
      <c r="G18" s="4">
        <f t="shared" si="4"/>
        <v>0.005736030631430457</v>
      </c>
      <c r="H18" s="4">
        <f t="shared" si="5"/>
        <v>0.005736030275748942</v>
      </c>
      <c r="I18" s="1">
        <f t="shared" si="10"/>
        <v>2.02E-06</v>
      </c>
      <c r="J18" s="1">
        <f t="shared" si="6"/>
        <v>2.2038451715802676</v>
      </c>
      <c r="K18" s="1">
        <f t="shared" si="7"/>
        <v>0.004154150280411543</v>
      </c>
      <c r="L18" s="6">
        <f t="shared" si="8"/>
        <v>6.863621608583629</v>
      </c>
    </row>
    <row r="19" spans="1:12" ht="12.75">
      <c r="A19" s="1">
        <v>0.0004</v>
      </c>
      <c r="B19" s="4">
        <f t="shared" si="0"/>
        <v>-3.3979400086720375</v>
      </c>
      <c r="C19" s="4">
        <f t="shared" si="1"/>
        <v>0.0025132741228718345</v>
      </c>
      <c r="D19" s="4">
        <f t="shared" si="2"/>
        <v>0.012750158697706364</v>
      </c>
      <c r="E19">
        <f t="shared" si="9"/>
        <v>0.0125</v>
      </c>
      <c r="F19">
        <f t="shared" si="3"/>
        <v>0.0025132741228718345</v>
      </c>
      <c r="G19" s="4">
        <f t="shared" si="4"/>
        <v>0.005733267142369594</v>
      </c>
      <c r="H19" s="4">
        <f t="shared" si="5"/>
        <v>0.005733266786516637</v>
      </c>
      <c r="I19" s="1">
        <f t="shared" si="10"/>
        <v>2.02E-06</v>
      </c>
      <c r="J19" s="1">
        <f t="shared" si="6"/>
        <v>2.223890563808029</v>
      </c>
      <c r="K19" s="1">
        <f t="shared" si="7"/>
        <v>0.005589246606117574</v>
      </c>
      <c r="L19" s="6">
        <f t="shared" si="8"/>
        <v>6.942268241800455</v>
      </c>
    </row>
    <row r="20" spans="1:12" ht="12.75">
      <c r="A20" s="1">
        <v>0.0005</v>
      </c>
      <c r="B20" s="4">
        <f t="shared" si="0"/>
        <v>-3.3010299956639813</v>
      </c>
      <c r="C20" s="4">
        <f t="shared" si="1"/>
        <v>0.0031415926535897933</v>
      </c>
      <c r="D20" s="4">
        <f t="shared" si="2"/>
        <v>0.012888739441896146</v>
      </c>
      <c r="E20">
        <f t="shared" si="9"/>
        <v>0.0125</v>
      </c>
      <c r="F20">
        <f t="shared" si="3"/>
        <v>0.0031415926535897933</v>
      </c>
      <c r="G20" s="4">
        <f t="shared" si="4"/>
        <v>0.00572971408500587</v>
      </c>
      <c r="H20" s="4">
        <f t="shared" si="5"/>
        <v>0.005729713728932245</v>
      </c>
      <c r="I20" s="1">
        <f t="shared" si="10"/>
        <v>2.02E-06</v>
      </c>
      <c r="J20" s="1">
        <f t="shared" si="6"/>
        <v>2.24945595027591</v>
      </c>
      <c r="K20" s="1">
        <f t="shared" si="7"/>
        <v>0.0070668742879606465</v>
      </c>
      <c r="L20" s="6">
        <f t="shared" si="8"/>
        <v>7.041549861217209</v>
      </c>
    </row>
    <row r="21" spans="1:12" ht="12.75">
      <c r="A21" s="1">
        <v>0.0007</v>
      </c>
      <c r="B21" s="4">
        <f t="shared" si="0"/>
        <v>-3.154901959985743</v>
      </c>
      <c r="C21" s="4">
        <f t="shared" si="1"/>
        <v>0.0043982297150257105</v>
      </c>
      <c r="D21" s="4">
        <f t="shared" si="2"/>
        <v>0.013251204648111626</v>
      </c>
      <c r="E21">
        <f t="shared" si="9"/>
        <v>0.0125</v>
      </c>
      <c r="F21">
        <f t="shared" si="3"/>
        <v>0.0043982297150257105</v>
      </c>
      <c r="G21" s="4">
        <f t="shared" si="4"/>
        <v>0.005720239265370614</v>
      </c>
      <c r="H21" s="4">
        <f t="shared" si="5"/>
        <v>0.0057202389087072</v>
      </c>
      <c r="I21" s="1">
        <f t="shared" si="10"/>
        <v>2.02E-06</v>
      </c>
      <c r="J21" s="1">
        <f t="shared" si="6"/>
        <v>2.3165472689809037</v>
      </c>
      <c r="K21" s="1">
        <f t="shared" si="7"/>
        <v>0.010188707034693469</v>
      </c>
      <c r="L21" s="6">
        <f t="shared" si="8"/>
        <v>7.296823327546937</v>
      </c>
    </row>
    <row r="22" spans="1:12" ht="12.75">
      <c r="A22" s="1">
        <v>0.001</v>
      </c>
      <c r="B22" s="4">
        <f t="shared" si="0"/>
        <v>-3</v>
      </c>
      <c r="C22" s="4">
        <f t="shared" si="1"/>
        <v>0.006283185307179587</v>
      </c>
      <c r="D22" s="4">
        <f t="shared" si="2"/>
        <v>0.013990297266475701</v>
      </c>
      <c r="E22">
        <f t="shared" si="9"/>
        <v>0.0125</v>
      </c>
      <c r="F22">
        <f t="shared" si="3"/>
        <v>0.006283185307179587</v>
      </c>
      <c r="G22" s="4">
        <f t="shared" si="4"/>
        <v>0.005700105273652202</v>
      </c>
      <c r="H22" s="4">
        <f t="shared" si="5"/>
        <v>0.005700104915728977</v>
      </c>
      <c r="I22" s="1">
        <f t="shared" si="10"/>
        <v>2.02E-06</v>
      </c>
      <c r="J22" s="1">
        <f t="shared" si="6"/>
        <v>2.4543927865935293</v>
      </c>
      <c r="K22" s="1">
        <f t="shared" si="7"/>
        <v>0.015421404694772026</v>
      </c>
      <c r="L22" s="6">
        <f t="shared" si="8"/>
        <v>7.7988813177764555</v>
      </c>
    </row>
    <row r="23" spans="1:12" ht="12.75">
      <c r="A23" s="1">
        <v>0.0014999999999999998</v>
      </c>
      <c r="B23" s="4">
        <f t="shared" si="0"/>
        <v>-2.8239087409443187</v>
      </c>
      <c r="C23" s="4">
        <f t="shared" si="1"/>
        <v>0.009424777960769378</v>
      </c>
      <c r="D23" s="4">
        <f t="shared" si="2"/>
        <v>0.015654917425837935</v>
      </c>
      <c r="E23">
        <f t="shared" si="9"/>
        <v>0.0125</v>
      </c>
      <c r="F23">
        <f t="shared" si="3"/>
        <v>0.009424777960769378</v>
      </c>
      <c r="G23" s="4">
        <f t="shared" si="4"/>
        <v>0.005650757254772496</v>
      </c>
      <c r="H23" s="4">
        <f t="shared" si="5"/>
        <v>0.00565075689372353</v>
      </c>
      <c r="I23" s="1">
        <f t="shared" si="10"/>
        <v>2.02E-06</v>
      </c>
      <c r="J23" s="1">
        <f t="shared" si="6"/>
        <v>2.770410534378585</v>
      </c>
      <c r="K23" s="1">
        <f t="shared" si="7"/>
        <v>0.0261105041466946</v>
      </c>
      <c r="L23" s="6">
        <f t="shared" si="8"/>
        <v>8.85088259864928</v>
      </c>
    </row>
    <row r="24" spans="1:12" ht="12.75">
      <c r="A24" s="1">
        <v>0.002</v>
      </c>
      <c r="B24" s="4">
        <f t="shared" si="0"/>
        <v>-2.6989700043360187</v>
      </c>
      <c r="C24" s="4">
        <f t="shared" si="1"/>
        <v>0.012566370614359173</v>
      </c>
      <c r="D24" s="4">
        <f t="shared" si="2"/>
        <v>0.017724662773024195</v>
      </c>
      <c r="E24">
        <f t="shared" si="9"/>
        <v>0.0125</v>
      </c>
      <c r="F24">
        <f t="shared" si="3"/>
        <v>0.012566370614359173</v>
      </c>
      <c r="G24" s="4">
        <f t="shared" si="4"/>
        <v>0.005581670028433762</v>
      </c>
      <c r="H24" s="4">
        <f t="shared" si="5"/>
        <v>0.0055816696629159045</v>
      </c>
      <c r="I24" s="1">
        <f t="shared" si="10"/>
        <v>2.02E-06</v>
      </c>
      <c r="J24" s="1">
        <f t="shared" si="6"/>
        <v>3.1755124689801493</v>
      </c>
      <c r="K24" s="1">
        <f t="shared" si="7"/>
        <v>0.039904666575723294</v>
      </c>
      <c r="L24" s="6">
        <f t="shared" si="8"/>
        <v>10.03627644761833</v>
      </c>
    </row>
    <row r="25" spans="1:12" ht="12.75">
      <c r="A25" s="1">
        <v>0.0029999999999999996</v>
      </c>
      <c r="B25" s="4">
        <f t="shared" si="0"/>
        <v>-2.5228787452803374</v>
      </c>
      <c r="C25" s="4">
        <f t="shared" si="1"/>
        <v>0.018849555921538756</v>
      </c>
      <c r="D25" s="4">
        <f t="shared" si="2"/>
        <v>0.022617598423334356</v>
      </c>
      <c r="E25">
        <f t="shared" si="9"/>
        <v>0.0125</v>
      </c>
      <c r="F25">
        <f t="shared" si="3"/>
        <v>0.018849555921538756</v>
      </c>
      <c r="G25" s="4">
        <f t="shared" si="4"/>
        <v>0.005384277953812162</v>
      </c>
      <c r="H25" s="4">
        <f t="shared" si="5"/>
        <v>0.005384277574894117</v>
      </c>
      <c r="I25" s="1">
        <f t="shared" si="10"/>
        <v>2.02E-06</v>
      </c>
      <c r="J25" s="1">
        <f t="shared" si="6"/>
        <v>4.200674374048744</v>
      </c>
      <c r="K25" s="1">
        <f t="shared" si="7"/>
        <v>0.07918084652180661</v>
      </c>
      <c r="L25" s="6">
        <f t="shared" si="8"/>
        <v>12.466380348042279</v>
      </c>
    </row>
    <row r="26" spans="1:12" ht="12.75">
      <c r="A26" s="1">
        <v>0.004</v>
      </c>
      <c r="B26" s="4">
        <f t="shared" si="0"/>
        <v>-2.3979400086720375</v>
      </c>
      <c r="C26" s="4">
        <f t="shared" si="1"/>
        <v>0.025132741228718346</v>
      </c>
      <c r="D26" s="4">
        <f t="shared" si="2"/>
        <v>0.02806963985643063</v>
      </c>
      <c r="E26">
        <f t="shared" si="9"/>
        <v>0.0125</v>
      </c>
      <c r="F26">
        <f t="shared" si="3"/>
        <v>0.025132741228718346</v>
      </c>
      <c r="G26" s="4">
        <f t="shared" si="4"/>
        <v>0.005107929051081865</v>
      </c>
      <c r="H26" s="4">
        <f t="shared" si="5"/>
        <v>0.005107928651663616</v>
      </c>
      <c r="I26" s="1">
        <f t="shared" si="10"/>
        <v>2.02E-06</v>
      </c>
      <c r="J26" s="1">
        <f t="shared" si="6"/>
        <v>5.495307310598892</v>
      </c>
      <c r="K26" s="1">
        <f t="shared" si="7"/>
        <v>0.13811213660956612</v>
      </c>
      <c r="L26" s="6">
        <f t="shared" si="8"/>
        <v>14.799839684291072</v>
      </c>
    </row>
    <row r="27" spans="1:12" ht="12.75">
      <c r="A27" s="1">
        <v>0.005</v>
      </c>
      <c r="B27" s="4">
        <f t="shared" si="0"/>
        <v>-2.3010299956639813</v>
      </c>
      <c r="C27" s="4">
        <f t="shared" si="1"/>
        <v>0.031415926535897934</v>
      </c>
      <c r="D27" s="4">
        <f t="shared" si="2"/>
        <v>0.033811395122191217</v>
      </c>
      <c r="E27">
        <f t="shared" si="9"/>
        <v>0.0125</v>
      </c>
      <c r="F27">
        <f t="shared" si="3"/>
        <v>0.031415926535897934</v>
      </c>
      <c r="G27" s="4">
        <f t="shared" si="4"/>
        <v>0.004752623322503126</v>
      </c>
      <c r="H27" s="4">
        <f t="shared" si="5"/>
        <v>0.004752622893224399</v>
      </c>
      <c r="I27" s="1">
        <f t="shared" si="10"/>
        <v>2.02E-06</v>
      </c>
      <c r="J27" s="1">
        <f t="shared" si="6"/>
        <v>7.114259394826883</v>
      </c>
      <c r="K27" s="1">
        <f t="shared" si="7"/>
        <v>0.22350105050520305</v>
      </c>
      <c r="L27" s="6">
        <f t="shared" si="8"/>
        <v>17.042593921207143</v>
      </c>
    </row>
    <row r="28" spans="1:12" ht="12.75">
      <c r="A28" s="1">
        <v>0.007</v>
      </c>
      <c r="B28" s="4">
        <f t="shared" si="0"/>
        <v>-2.154901959985743</v>
      </c>
      <c r="C28" s="4">
        <f t="shared" si="1"/>
        <v>0.0439822971502571</v>
      </c>
      <c r="D28" s="4">
        <f t="shared" si="2"/>
        <v>0.04572409061548971</v>
      </c>
      <c r="E28">
        <f t="shared" si="9"/>
        <v>0.0125</v>
      </c>
      <c r="F28">
        <f t="shared" si="3"/>
        <v>0.0439822971502571</v>
      </c>
      <c r="G28" s="4">
        <f t="shared" si="4"/>
        <v>0.003805141406889157</v>
      </c>
      <c r="H28" s="4">
        <f t="shared" si="5"/>
        <v>0.0038051408707198203</v>
      </c>
      <c r="I28" s="1">
        <f t="shared" si="10"/>
        <v>2.02E-06</v>
      </c>
      <c r="J28" s="1">
        <f t="shared" si="6"/>
        <v>12.016397217908082</v>
      </c>
      <c r="K28" s="1">
        <f t="shared" si="7"/>
        <v>0.528508753113556</v>
      </c>
      <c r="L28" s="6">
        <f t="shared" si="8"/>
        <v>21.59548552152126</v>
      </c>
    </row>
    <row r="29" spans="1:12" ht="12.75">
      <c r="A29" s="1">
        <v>0.01</v>
      </c>
      <c r="B29" s="4">
        <f t="shared" si="0"/>
        <v>-2</v>
      </c>
      <c r="C29" s="4">
        <f t="shared" si="1"/>
        <v>0.06283185307179587</v>
      </c>
      <c r="D29" s="4">
        <f t="shared" si="2"/>
        <v>0.0640631856875362</v>
      </c>
      <c r="E29">
        <f t="shared" si="9"/>
        <v>0.0125</v>
      </c>
      <c r="F29" s="4">
        <f t="shared" si="3"/>
        <v>0.06283185307179587</v>
      </c>
      <c r="G29" s="4">
        <f t="shared" si="4"/>
        <v>0.0017917427115659024</v>
      </c>
      <c r="H29" s="4">
        <f t="shared" si="5"/>
        <v>0.0017917415728975908</v>
      </c>
      <c r="I29" s="1">
        <f t="shared" si="10"/>
        <v>2.02E-06</v>
      </c>
      <c r="J29" s="1">
        <f t="shared" si="6"/>
        <v>35.75467910319996</v>
      </c>
      <c r="K29" s="1">
        <f t="shared" si="7"/>
        <v>2.24653274404147</v>
      </c>
      <c r="L29" s="6">
        <f t="shared" si="8"/>
        <v>31.066657692379103</v>
      </c>
    </row>
    <row r="30" spans="1:12" ht="12.75">
      <c r="A30" s="1">
        <v>0.011</v>
      </c>
      <c r="B30" s="4">
        <f t="shared" si="0"/>
        <v>-1.958607314841775</v>
      </c>
      <c r="C30" s="4">
        <f t="shared" si="1"/>
        <v>0.06911503837897544</v>
      </c>
      <c r="D30" s="4">
        <f t="shared" si="2"/>
        <v>0.07023630492934012</v>
      </c>
      <c r="E30">
        <f t="shared" si="9"/>
        <v>0.0125</v>
      </c>
      <c r="F30" s="4">
        <f t="shared" si="3"/>
        <v>0.06911503837897544</v>
      </c>
      <c r="G30" s="4">
        <f t="shared" si="4"/>
        <v>0.0009626969224631426</v>
      </c>
      <c r="H30" s="4">
        <f t="shared" si="5"/>
        <v>0.0009626948032060868</v>
      </c>
      <c r="I30" s="1">
        <f t="shared" si="10"/>
        <v>2.02E-06</v>
      </c>
      <c r="J30" s="1">
        <f t="shared" si="6"/>
        <v>72.95785754631324</v>
      </c>
      <c r="K30" s="1">
        <f t="shared" si="7"/>
        <v>5.042485124361262</v>
      </c>
      <c r="L30" s="6">
        <f>20*LOG10(J30)</f>
        <v>37.26144144350273</v>
      </c>
    </row>
    <row r="31" spans="1:12" ht="12.75">
      <c r="A31" s="1">
        <v>0.0112</v>
      </c>
      <c r="B31" s="4">
        <f t="shared" si="0"/>
        <v>-1.9507819773298183</v>
      </c>
      <c r="C31" s="4">
        <f t="shared" si="1"/>
        <v>0.07037167544041137</v>
      </c>
      <c r="D31" s="4">
        <f aca="true" t="shared" si="11" ref="D31:D39">SQRT(E31*E31+F31*F31)</f>
        <v>0.07147323068317674</v>
      </c>
      <c r="E31">
        <f t="shared" si="9"/>
        <v>0.0125</v>
      </c>
      <c r="F31" s="4">
        <f aca="true" t="shared" si="12" ref="F31:F39">C31</f>
        <v>0.07037167544041137</v>
      </c>
      <c r="G31" s="4">
        <f aca="true" t="shared" si="13" ref="G31:G39">SQRT(H31*H31+I31*I31)</f>
        <v>0.0007874132200626809</v>
      </c>
      <c r="H31" s="4">
        <f aca="true" t="shared" si="14" ref="H31:H39">$C$3/$C$1*($C$2+$C$4)-C31*C31</f>
        <v>0.0007874106290427377</v>
      </c>
      <c r="I31" s="1">
        <f t="shared" si="10"/>
        <v>2.02E-06</v>
      </c>
      <c r="J31" s="1">
        <f aca="true" t="shared" si="15" ref="J31:J39">D31/G31</f>
        <v>90.7696605315913</v>
      </c>
      <c r="K31" s="1">
        <f aca="true" t="shared" si="16" ref="K31:K39">J31*C31</f>
        <v>6.387613090765461</v>
      </c>
      <c r="L31" s="6">
        <f aca="true" t="shared" si="17" ref="L31:L39">20*LOG10(J31)</f>
        <v>39.15881422471015</v>
      </c>
    </row>
    <row r="32" spans="1:12" ht="12.75">
      <c r="A32" s="1">
        <v>0.0114</v>
      </c>
      <c r="B32" s="4">
        <f t="shared" si="0"/>
        <v>-1.9430951486635273</v>
      </c>
      <c r="C32" s="4">
        <f t="shared" si="1"/>
        <v>0.07162831250184729</v>
      </c>
      <c r="D32" s="4">
        <f t="shared" si="11"/>
        <v>0.07271083242449018</v>
      </c>
      <c r="E32">
        <f t="shared" si="9"/>
        <v>0.0125</v>
      </c>
      <c r="F32" s="4">
        <f t="shared" si="12"/>
        <v>0.07162831250184729</v>
      </c>
      <c r="G32" s="4">
        <f t="shared" si="13"/>
        <v>0.0006089715317189695</v>
      </c>
      <c r="H32" s="4">
        <f t="shared" si="14"/>
        <v>0.0006089681814710418</v>
      </c>
      <c r="I32" s="1">
        <f t="shared" si="10"/>
        <v>2.02E-06</v>
      </c>
      <c r="J32" s="1">
        <f t="shared" si="15"/>
        <v>119.39939494256204</v>
      </c>
      <c r="K32" s="1">
        <f t="shared" si="16"/>
        <v>8.552377173477318</v>
      </c>
      <c r="L32" s="6">
        <f t="shared" si="17"/>
        <v>41.540042520159744</v>
      </c>
    </row>
    <row r="33" spans="1:12" ht="12.75">
      <c r="A33" s="1">
        <v>0.0118</v>
      </c>
      <c r="B33" s="4">
        <f t="shared" si="0"/>
        <v>-1.9281179926938745</v>
      </c>
      <c r="C33" s="4">
        <f t="shared" si="1"/>
        <v>0.07414158662471912</v>
      </c>
      <c r="D33" s="4">
        <f t="shared" si="11"/>
        <v>0.07518793032947994</v>
      </c>
      <c r="E33">
        <f t="shared" si="9"/>
        <v>0.0125</v>
      </c>
      <c r="F33" s="4">
        <f t="shared" si="12"/>
        <v>0.07414158662471912</v>
      </c>
      <c r="G33" s="4">
        <f t="shared" si="13"/>
        <v>0.00024261687539134415</v>
      </c>
      <c r="H33" s="4">
        <f t="shared" si="14"/>
        <v>0.00024260846610260536</v>
      </c>
      <c r="I33" s="1">
        <f t="shared" si="10"/>
        <v>2.02E-06</v>
      </c>
      <c r="J33" s="1">
        <f t="shared" si="15"/>
        <v>309.90395951724645</v>
      </c>
      <c r="K33" s="1">
        <f t="shared" si="16"/>
        <v>22.976771259891375</v>
      </c>
      <c r="L33" s="6">
        <f t="shared" si="17"/>
        <v>49.824542501585</v>
      </c>
    </row>
    <row r="34" spans="1:12" ht="12.75">
      <c r="A34" s="1">
        <v>0.0119</v>
      </c>
      <c r="B34" s="4">
        <f t="shared" si="0"/>
        <v>-1.9244530386074692</v>
      </c>
      <c r="C34" s="4">
        <f t="shared" si="1"/>
        <v>0.07476990515543708</v>
      </c>
      <c r="D34" s="4">
        <f t="shared" si="11"/>
        <v>0.07580757690991749</v>
      </c>
      <c r="E34">
        <f t="shared" si="9"/>
        <v>0.0125</v>
      </c>
      <c r="F34" s="4">
        <f t="shared" si="12"/>
        <v>0.07476990515543708</v>
      </c>
      <c r="G34" s="4">
        <f t="shared" si="13"/>
        <v>0.00014905830427032365</v>
      </c>
      <c r="H34" s="4">
        <f t="shared" si="14"/>
        <v>0.0001490446163802785</v>
      </c>
      <c r="I34" s="1">
        <f t="shared" si="10"/>
        <v>2.02E-06</v>
      </c>
      <c r="J34" s="1">
        <f t="shared" si="15"/>
        <v>508.57667595920844</v>
      </c>
      <c r="K34" s="1">
        <f t="shared" si="16"/>
        <v>38.026229825737474</v>
      </c>
      <c r="L34" s="6">
        <f t="shared" si="17"/>
        <v>54.12712877882744</v>
      </c>
    </row>
    <row r="35" spans="1:12" ht="12.75">
      <c r="A35" s="1">
        <v>0.012</v>
      </c>
      <c r="B35" s="4">
        <f t="shared" si="0"/>
        <v>-1.9208187539523751</v>
      </c>
      <c r="C35" s="4">
        <f t="shared" si="1"/>
        <v>0.07539822368615504</v>
      </c>
      <c r="D35" s="4">
        <f t="shared" si="11"/>
        <v>0.0764273650927956</v>
      </c>
      <c r="E35">
        <f t="shared" si="9"/>
        <v>0.0125</v>
      </c>
      <c r="F35" s="4">
        <f t="shared" si="12"/>
        <v>0.07539822368615504</v>
      </c>
      <c r="G35" s="4">
        <f t="shared" si="13"/>
        <v>5.472848958386597E-05</v>
      </c>
      <c r="H35" s="4">
        <f t="shared" si="14"/>
        <v>5.469119830586386E-05</v>
      </c>
      <c r="I35" s="1">
        <f t="shared" si="10"/>
        <v>2.02E-06</v>
      </c>
      <c r="J35" s="1">
        <f t="shared" si="15"/>
        <v>1396.4822649760554</v>
      </c>
      <c r="K35" s="1">
        <f t="shared" si="16"/>
        <v>105.29228218841305</v>
      </c>
      <c r="L35" s="6">
        <f t="shared" si="17"/>
        <v>62.90070849251357</v>
      </c>
    </row>
    <row r="36" spans="1:12" ht="12.75">
      <c r="A36" s="1">
        <v>0.0121</v>
      </c>
      <c r="B36" s="4">
        <f t="shared" si="0"/>
        <v>-1.91721462968355</v>
      </c>
      <c r="C36" s="4">
        <f t="shared" si="1"/>
        <v>0.076026542216873</v>
      </c>
      <c r="D36" s="4">
        <f t="shared" si="11"/>
        <v>0.0770472914608552</v>
      </c>
      <c r="E36">
        <f t="shared" si="9"/>
        <v>0.0125</v>
      </c>
      <c r="F36" s="4">
        <f t="shared" si="12"/>
        <v>0.076026542216873</v>
      </c>
      <c r="G36" s="4">
        <f t="shared" si="13"/>
        <v>4.050219206607175E-05</v>
      </c>
      <c r="H36" s="4">
        <f t="shared" si="14"/>
        <v>-4.0451788120637704E-05</v>
      </c>
      <c r="I36" s="1">
        <f t="shared" si="10"/>
        <v>2.02E-06</v>
      </c>
      <c r="J36" s="1">
        <f t="shared" si="15"/>
        <v>1902.2992961755492</v>
      </c>
      <c r="K36" s="1">
        <f t="shared" si="16"/>
        <v>144.62523774981818</v>
      </c>
      <c r="L36" s="6">
        <f t="shared" si="17"/>
        <v>65.58557694447394</v>
      </c>
    </row>
    <row r="37" spans="1:12" ht="12.75">
      <c r="A37" s="1">
        <v>0.0122</v>
      </c>
      <c r="B37" s="4">
        <f t="shared" si="0"/>
        <v>-1.9136401693252518</v>
      </c>
      <c r="C37" s="4">
        <f t="shared" si="1"/>
        <v>0.07665486074759095</v>
      </c>
      <c r="D37" s="4">
        <f t="shared" si="11"/>
        <v>0.07766735270519114</v>
      </c>
      <c r="E37">
        <f t="shared" si="9"/>
        <v>0.0125</v>
      </c>
      <c r="F37" s="4">
        <f t="shared" si="12"/>
        <v>0.07665486074759095</v>
      </c>
      <c r="G37" s="4">
        <f t="shared" si="13"/>
        <v>0.00013639930127406705</v>
      </c>
      <c r="H37" s="4">
        <f t="shared" si="14"/>
        <v>-0.00013638434289922619</v>
      </c>
      <c r="I37" s="1">
        <f t="shared" si="10"/>
        <v>2.02E-06</v>
      </c>
      <c r="J37" s="1">
        <f t="shared" si="15"/>
        <v>569.4116610548772</v>
      </c>
      <c r="K37" s="1">
        <f t="shared" si="16"/>
        <v>43.64817158621607</v>
      </c>
      <c r="L37" s="6">
        <f t="shared" si="17"/>
        <v>55.10852713749479</v>
      </c>
    </row>
    <row r="38" spans="1:12" ht="12.75">
      <c r="A38" s="1">
        <v>0.0126</v>
      </c>
      <c r="B38" s="4">
        <f t="shared" si="0"/>
        <v>-1.899629454882437</v>
      </c>
      <c r="C38" s="4">
        <f t="shared" si="1"/>
        <v>0.07916813487046279</v>
      </c>
      <c r="D38" s="4">
        <f t="shared" si="11"/>
        <v>0.08014888382795973</v>
      </c>
      <c r="E38">
        <f t="shared" si="9"/>
        <v>0.0125</v>
      </c>
      <c r="F38" s="4">
        <f t="shared" si="12"/>
        <v>0.07916813487046279</v>
      </c>
      <c r="G38" s="4">
        <f t="shared" si="13"/>
        <v>0.0005280141094604872</v>
      </c>
      <c r="H38" s="4">
        <f t="shared" si="14"/>
        <v>-0.000528010245534451</v>
      </c>
      <c r="I38" s="1">
        <f t="shared" si="10"/>
        <v>2.02E-06</v>
      </c>
      <c r="J38" s="1">
        <f t="shared" si="15"/>
        <v>151.79307217728336</v>
      </c>
      <c r="K38" s="1">
        <f t="shared" si="16"/>
        <v>12.017174410533062</v>
      </c>
      <c r="L38" s="6">
        <f t="shared" si="17"/>
        <v>43.6250390169817</v>
      </c>
    </row>
    <row r="39" spans="1:12" ht="12.75">
      <c r="A39" s="1">
        <v>0.0128</v>
      </c>
      <c r="B39" s="4">
        <f t="shared" si="0"/>
        <v>-1.8927900303521317</v>
      </c>
      <c r="C39" s="4">
        <f t="shared" si="1"/>
        <v>0.0804247719318987</v>
      </c>
      <c r="D39" s="4">
        <f t="shared" si="11"/>
        <v>0.08139037990019411</v>
      </c>
      <c r="E39">
        <f t="shared" si="9"/>
        <v>0.0125</v>
      </c>
      <c r="F39" s="4">
        <f t="shared" si="12"/>
        <v>0.0804247719318987</v>
      </c>
      <c r="G39" s="4">
        <f t="shared" si="13"/>
        <v>0.0007285634072753084</v>
      </c>
      <c r="H39" s="4">
        <f t="shared" si="14"/>
        <v>-0.0007285606069645867</v>
      </c>
      <c r="I39" s="1">
        <f t="shared" si="10"/>
        <v>2.02E-06</v>
      </c>
      <c r="J39" s="1">
        <f t="shared" si="15"/>
        <v>111.71351606111949</v>
      </c>
      <c r="K39" s="1">
        <f t="shared" si="16"/>
        <v>8.984534050926039</v>
      </c>
      <c r="L39" s="6">
        <f t="shared" si="17"/>
        <v>40.96211441945603</v>
      </c>
    </row>
    <row r="40" spans="1:12" ht="12.75">
      <c r="A40" s="1">
        <v>0.013</v>
      </c>
      <c r="B40" s="4">
        <f t="shared" si="0"/>
        <v>-1.8860566476931633</v>
      </c>
      <c r="C40" s="4">
        <f t="shared" si="1"/>
        <v>0.08168140899333462</v>
      </c>
      <c r="D40" s="4">
        <f aca="true" t="shared" si="18" ref="D40:D55">SQRT(E40*E40+F40*F40)</f>
        <v>0.0826323337146931</v>
      </c>
      <c r="E40">
        <f t="shared" si="9"/>
        <v>0.0125</v>
      </c>
      <c r="F40" s="4">
        <f aca="true" t="shared" si="19" ref="F40:F55">C40</f>
        <v>0.08168140899333462</v>
      </c>
      <c r="G40" s="4">
        <f aca="true" t="shared" si="20" ref="G40:G55">SQRT(H40*H40+I40*I40)</f>
        <v>0.0009322714302240913</v>
      </c>
      <c r="H40" s="4">
        <f aca="true" t="shared" si="21" ref="H40:H55">$C$3/$C$1*($C$2+$C$4)-C40*C40</f>
        <v>-0.000932269241803071</v>
      </c>
      <c r="I40" s="1">
        <f t="shared" si="10"/>
        <v>2.02E-06</v>
      </c>
      <c r="J40" s="1">
        <f aca="true" t="shared" si="22" ref="J40:J55">D40/G40</f>
        <v>88.63548858815791</v>
      </c>
      <c r="K40" s="1">
        <f aca="true" t="shared" si="23" ref="K40:K55">J40*C40</f>
        <v>7.23987159469337</v>
      </c>
      <c r="L40" s="6">
        <f>20*LOG10(J40)</f>
        <v>38.952152860338266</v>
      </c>
    </row>
    <row r="41" spans="1:12" ht="12.75">
      <c r="A41" s="1">
        <v>0.014</v>
      </c>
      <c r="B41" s="4">
        <f t="shared" si="0"/>
        <v>-1.853871964321762</v>
      </c>
      <c r="C41" s="4">
        <f t="shared" si="1"/>
        <v>0.0879645943005142</v>
      </c>
      <c r="D41" s="4">
        <f t="shared" si="18"/>
        <v>0.08884829683485247</v>
      </c>
      <c r="E41">
        <f t="shared" si="9"/>
        <v>0.0125</v>
      </c>
      <c r="F41" s="4">
        <f t="shared" si="19"/>
        <v>0.0879645943005142</v>
      </c>
      <c r="G41" s="4">
        <f t="shared" si="20"/>
        <v>0.0019981875381462674</v>
      </c>
      <c r="H41" s="4">
        <f t="shared" si="21"/>
        <v>-0.001998186517120722</v>
      </c>
      <c r="I41" s="1">
        <f t="shared" si="10"/>
        <v>2.02E-06</v>
      </c>
      <c r="J41" s="1">
        <f t="shared" si="22"/>
        <v>44.46444347124578</v>
      </c>
      <c r="K41" s="1">
        <f t="shared" si="23"/>
        <v>3.9112967307462827</v>
      </c>
      <c r="L41" s="6">
        <f>20*LOG10(J41)</f>
        <v>32.96025721881818</v>
      </c>
    </row>
    <row r="42" spans="1:12" ht="12.75">
      <c r="A42" s="1">
        <v>0.015</v>
      </c>
      <c r="B42" s="4">
        <f t="shared" si="0"/>
        <v>-1.8239087409443189</v>
      </c>
      <c r="C42" s="4">
        <f t="shared" si="1"/>
        <v>0.09424777960769379</v>
      </c>
      <c r="D42" s="4">
        <f t="shared" si="18"/>
        <v>0.0950730979877085</v>
      </c>
      <c r="E42">
        <f t="shared" si="9"/>
        <v>0.0125</v>
      </c>
      <c r="F42" s="4">
        <f t="shared" si="19"/>
        <v>0.09424777960769379</v>
      </c>
      <c r="G42" s="4">
        <f t="shared" si="20"/>
        <v>0.0031430612767595384</v>
      </c>
      <c r="H42" s="4">
        <f t="shared" si="21"/>
        <v>-0.0031430606276470867</v>
      </c>
      <c r="I42" s="1">
        <f t="shared" si="10"/>
        <v>2.02E-06</v>
      </c>
      <c r="J42" s="1">
        <f t="shared" si="22"/>
        <v>30.248566482206105</v>
      </c>
      <c r="K42" s="1">
        <f t="shared" si="23"/>
        <v>2.8508602272636345</v>
      </c>
      <c r="L42" s="6">
        <f t="shared" si="8"/>
        <v>29.61409595423618</v>
      </c>
    </row>
    <row r="43" spans="1:12" ht="12.75">
      <c r="A43" s="1">
        <v>0.02</v>
      </c>
      <c r="B43" s="4">
        <f t="shared" si="0"/>
        <v>-1.6989700043360187</v>
      </c>
      <c r="C43" s="4">
        <f t="shared" si="1"/>
        <v>0.12566370614359174</v>
      </c>
      <c r="D43" s="4">
        <f t="shared" si="18"/>
        <v>0.12628387482866912</v>
      </c>
      <c r="E43">
        <f t="shared" si="9"/>
        <v>0.0125</v>
      </c>
      <c r="F43" s="4">
        <f t="shared" si="19"/>
        <v>0.12566370614359174</v>
      </c>
      <c r="G43" s="4">
        <f t="shared" si="20"/>
        <v>0.010051783911378589</v>
      </c>
      <c r="H43" s="4">
        <f t="shared" si="21"/>
        <v>-0.01005178370840964</v>
      </c>
      <c r="I43" s="1">
        <f t="shared" si="10"/>
        <v>2.02E-06</v>
      </c>
      <c r="J43" s="1">
        <f t="shared" si="22"/>
        <v>12.563329647955937</v>
      </c>
      <c r="K43" s="1">
        <f t="shared" si="23"/>
        <v>1.5787545650658088</v>
      </c>
      <c r="L43" s="6">
        <f t="shared" si="8"/>
        <v>21.9820951066456</v>
      </c>
    </row>
    <row r="44" spans="1:12" ht="12.75">
      <c r="A44" s="1">
        <v>0.03</v>
      </c>
      <c r="B44" s="4">
        <f t="shared" si="0"/>
        <v>-1.5228787452803376</v>
      </c>
      <c r="C44" s="4">
        <f t="shared" si="1"/>
        <v>0.18849555921538758</v>
      </c>
      <c r="D44" s="4">
        <f t="shared" si="18"/>
        <v>0.1889095705461258</v>
      </c>
      <c r="E44">
        <f t="shared" si="9"/>
        <v>0.0125</v>
      </c>
      <c r="F44" s="4">
        <f t="shared" si="19"/>
        <v>0.18849555921538758</v>
      </c>
      <c r="G44" s="4">
        <f t="shared" si="20"/>
        <v>0.02979099257907214</v>
      </c>
      <c r="H44" s="4">
        <f t="shared" si="21"/>
        <v>-0.02979099251058835</v>
      </c>
      <c r="I44" s="1">
        <f t="shared" si="10"/>
        <v>2.02E-06</v>
      </c>
      <c r="J44" s="1">
        <f t="shared" si="22"/>
        <v>6.341164029520547</v>
      </c>
      <c r="K44" s="1">
        <f t="shared" si="23"/>
        <v>1.1952812598209759</v>
      </c>
      <c r="L44" s="6">
        <f t="shared" si="8"/>
        <v>16.043379748155804</v>
      </c>
    </row>
    <row r="45" spans="1:12" ht="12.75">
      <c r="A45" s="1">
        <v>0.04</v>
      </c>
      <c r="B45" s="4">
        <f t="shared" si="0"/>
        <v>-1.3979400086720375</v>
      </c>
      <c r="C45" s="4">
        <f t="shared" si="1"/>
        <v>0.25132741228718347</v>
      </c>
      <c r="D45" s="4">
        <f t="shared" si="18"/>
        <v>0.25163806978867864</v>
      </c>
      <c r="E45">
        <f t="shared" si="9"/>
        <v>0.0125</v>
      </c>
      <c r="F45" s="4">
        <f t="shared" si="19"/>
        <v>0.25132741228718347</v>
      </c>
      <c r="G45" s="4">
        <f t="shared" si="20"/>
        <v>0.0574258848691661</v>
      </c>
      <c r="H45" s="4">
        <f t="shared" si="21"/>
        <v>-0.057425884833638564</v>
      </c>
      <c r="I45" s="1">
        <f t="shared" si="10"/>
        <v>2.02E-06</v>
      </c>
      <c r="J45" s="1">
        <f t="shared" si="22"/>
        <v>4.381962426212289</v>
      </c>
      <c r="K45" s="1">
        <f t="shared" si="23"/>
        <v>1.1013072773196029</v>
      </c>
      <c r="L45" s="6">
        <f t="shared" si="8"/>
        <v>12.833372986362157</v>
      </c>
    </row>
    <row r="46" spans="1:12" ht="12.75">
      <c r="A46" s="1">
        <v>0.05</v>
      </c>
      <c r="B46" s="4">
        <f t="shared" si="0"/>
        <v>-1.3010299956639813</v>
      </c>
      <c r="C46" s="4">
        <f t="shared" si="1"/>
        <v>0.3141592653589793</v>
      </c>
      <c r="D46" s="4">
        <f t="shared" si="18"/>
        <v>0.31440784661152077</v>
      </c>
      <c r="E46">
        <f t="shared" si="9"/>
        <v>0.0125</v>
      </c>
      <c r="F46" s="4">
        <f t="shared" si="19"/>
        <v>0.3141592653589793</v>
      </c>
      <c r="G46" s="4">
        <f t="shared" si="20"/>
        <v>0.09295646069950814</v>
      </c>
      <c r="H46" s="4">
        <f t="shared" si="21"/>
        <v>-0.09295646067756023</v>
      </c>
      <c r="I46" s="1">
        <f t="shared" si="10"/>
        <v>2.02E-06</v>
      </c>
      <c r="J46" s="1">
        <f t="shared" si="22"/>
        <v>3.382313012409953</v>
      </c>
      <c r="K46" s="1">
        <f t="shared" si="23"/>
        <v>1.062584971192827</v>
      </c>
      <c r="L46" s="6">
        <f t="shared" si="8"/>
        <v>10.58427592846348</v>
      </c>
    </row>
    <row r="47" spans="1:12" ht="12.75">
      <c r="A47" s="1">
        <v>0.07</v>
      </c>
      <c r="B47" s="4">
        <f t="shared" si="0"/>
        <v>-1.154901959985743</v>
      </c>
      <c r="C47" s="4">
        <f t="shared" si="1"/>
        <v>0.4398229715025711</v>
      </c>
      <c r="D47" s="4">
        <f t="shared" si="18"/>
        <v>0.4400005639329926</v>
      </c>
      <c r="E47">
        <f t="shared" si="9"/>
        <v>0.0125</v>
      </c>
      <c r="F47" s="4">
        <f t="shared" si="19"/>
        <v>0.4398229715025711</v>
      </c>
      <c r="G47" s="4">
        <f t="shared" si="20"/>
        <v>0.18770466293888738</v>
      </c>
      <c r="H47" s="4">
        <f t="shared" si="21"/>
        <v>-0.18770466292801816</v>
      </c>
      <c r="I47" s="1">
        <f t="shared" si="10"/>
        <v>2.02E-06</v>
      </c>
      <c r="J47" s="1">
        <f t="shared" si="22"/>
        <v>2.344110993535879</v>
      </c>
      <c r="K47" s="1">
        <f t="shared" si="23"/>
        <v>1.0309938627087945</v>
      </c>
      <c r="L47" s="6">
        <f t="shared" si="8"/>
        <v>7.399563433089282</v>
      </c>
    </row>
    <row r="48" spans="1:12" ht="12.75">
      <c r="A48" s="1">
        <v>0.1</v>
      </c>
      <c r="B48" s="4">
        <f t="shared" si="0"/>
        <v>-1</v>
      </c>
      <c r="C48" s="4">
        <f t="shared" si="1"/>
        <v>0.6283185307179586</v>
      </c>
      <c r="D48" s="4">
        <f t="shared" si="18"/>
        <v>0.6284428582166992</v>
      </c>
      <c r="E48">
        <f t="shared" si="9"/>
        <v>0.0125</v>
      </c>
      <c r="F48" s="4">
        <f t="shared" si="19"/>
        <v>0.6283185307179586</v>
      </c>
      <c r="G48" s="4">
        <f t="shared" si="20"/>
        <v>0.3890445927154851</v>
      </c>
      <c r="H48" s="4">
        <f t="shared" si="21"/>
        <v>-0.38904459271024094</v>
      </c>
      <c r="I48" s="1">
        <f t="shared" si="10"/>
        <v>2.02E-06</v>
      </c>
      <c r="J48" s="1">
        <f t="shared" si="22"/>
        <v>1.6153491655808467</v>
      </c>
      <c r="K48" s="1">
        <f t="shared" si="23"/>
        <v>1.014953814314238</v>
      </c>
      <c r="L48" s="6">
        <f t="shared" si="8"/>
        <v>4.165328233589064</v>
      </c>
    </row>
    <row r="49" spans="1:12" ht="12.75">
      <c r="A49" s="1">
        <v>0.15</v>
      </c>
      <c r="B49" s="4">
        <f t="shared" si="0"/>
        <v>-0.8239087409443188</v>
      </c>
      <c r="C49" s="4">
        <f t="shared" si="1"/>
        <v>0.9424777960769379</v>
      </c>
      <c r="D49" s="4">
        <f t="shared" si="18"/>
        <v>0.9425606856314569</v>
      </c>
      <c r="E49">
        <f t="shared" si="9"/>
        <v>0.0125</v>
      </c>
      <c r="F49" s="4">
        <f t="shared" si="19"/>
        <v>0.9424777960769379</v>
      </c>
      <c r="G49" s="4">
        <f t="shared" si="20"/>
        <v>0.8825248127670206</v>
      </c>
      <c r="H49" s="4">
        <f t="shared" si="21"/>
        <v>-0.8825248127647088</v>
      </c>
      <c r="I49" s="1">
        <f t="shared" si="10"/>
        <v>2.02E-06</v>
      </c>
      <c r="J49" s="1">
        <f t="shared" si="22"/>
        <v>1.0680274050042888</v>
      </c>
      <c r="K49" s="1">
        <f t="shared" si="23"/>
        <v>1.0065921148182133</v>
      </c>
      <c r="L49" s="6">
        <f t="shared" si="8"/>
        <v>0.5716479319301616</v>
      </c>
    </row>
    <row r="50" spans="1:12" ht="12.75">
      <c r="A50" s="1">
        <v>0.2</v>
      </c>
      <c r="B50" s="4">
        <f t="shared" si="0"/>
        <v>-0.6989700043360187</v>
      </c>
      <c r="C50" s="4">
        <f t="shared" si="1"/>
        <v>1.2566370614359172</v>
      </c>
      <c r="D50" s="4">
        <f t="shared" si="18"/>
        <v>1.2566992297977655</v>
      </c>
      <c r="E50">
        <f t="shared" si="9"/>
        <v>0.0125</v>
      </c>
      <c r="F50" s="4">
        <f t="shared" si="19"/>
        <v>1.2566370614359172</v>
      </c>
      <c r="G50" s="4">
        <f t="shared" si="20"/>
        <v>1.5733971208422606</v>
      </c>
      <c r="H50" s="4">
        <f t="shared" si="21"/>
        <v>-1.5733971208409638</v>
      </c>
      <c r="I50" s="1">
        <f t="shared" si="10"/>
        <v>2.02E-06</v>
      </c>
      <c r="J50" s="1">
        <f t="shared" si="22"/>
        <v>0.7987171281494639</v>
      </c>
      <c r="K50" s="1">
        <f t="shared" si="23"/>
        <v>1.0036975448362773</v>
      </c>
      <c r="L50" s="6">
        <f t="shared" si="8"/>
        <v>-1.95214004414042</v>
      </c>
    </row>
    <row r="51" spans="1:12" ht="12.75">
      <c r="A51" s="1">
        <v>0.3</v>
      </c>
      <c r="B51" s="4">
        <f t="shared" si="0"/>
        <v>-0.5228787452803376</v>
      </c>
      <c r="C51" s="4">
        <f t="shared" si="1"/>
        <v>1.8849555921538759</v>
      </c>
      <c r="D51" s="4">
        <f t="shared" si="18"/>
        <v>1.8849970382979833</v>
      </c>
      <c r="E51">
        <f t="shared" si="9"/>
        <v>0.0125</v>
      </c>
      <c r="F51" s="4">
        <f t="shared" si="19"/>
        <v>1.8849555921538759</v>
      </c>
      <c r="G51" s="4">
        <f t="shared" si="20"/>
        <v>3.5473180010594105</v>
      </c>
      <c r="H51" s="4">
        <f t="shared" si="21"/>
        <v>-3.5473180010588354</v>
      </c>
      <c r="I51" s="1">
        <f t="shared" si="10"/>
        <v>2.02E-06</v>
      </c>
      <c r="J51" s="1">
        <f t="shared" si="22"/>
        <v>0.5313865398408112</v>
      </c>
      <c r="K51" s="1">
        <f t="shared" si="23"/>
        <v>1.0016400298682353</v>
      </c>
      <c r="L51" s="6">
        <f t="shared" si="8"/>
        <v>-5.491789011570784</v>
      </c>
    </row>
    <row r="52" spans="1:12" ht="12.75">
      <c r="A52" s="1">
        <v>0.4</v>
      </c>
      <c r="B52" s="4">
        <f t="shared" si="0"/>
        <v>-0.3979400086720376</v>
      </c>
      <c r="C52" s="4">
        <f t="shared" si="1"/>
        <v>2.5132741228718345</v>
      </c>
      <c r="D52" s="4">
        <f t="shared" si="18"/>
        <v>2.513305207629425</v>
      </c>
      <c r="E52">
        <f t="shared" si="9"/>
        <v>0.0125</v>
      </c>
      <c r="F52" s="4">
        <f t="shared" si="19"/>
        <v>2.5132741228718345</v>
      </c>
      <c r="G52" s="4">
        <f t="shared" si="20"/>
        <v>6.310807233364179</v>
      </c>
      <c r="H52" s="4">
        <f t="shared" si="21"/>
        <v>-6.310807233363856</v>
      </c>
      <c r="I52" s="1">
        <f t="shared" si="10"/>
        <v>2.02E-06</v>
      </c>
      <c r="J52" s="1">
        <f t="shared" si="22"/>
        <v>0.3982541558775559</v>
      </c>
      <c r="K52" s="1">
        <f t="shared" si="23"/>
        <v>1.0009218642932272</v>
      </c>
      <c r="L52" s="6">
        <f t="shared" si="8"/>
        <v>-7.996793670723797</v>
      </c>
    </row>
    <row r="53" spans="1:12" ht="12.75">
      <c r="A53" s="1">
        <v>0.5</v>
      </c>
      <c r="B53" s="4">
        <f t="shared" si="0"/>
        <v>-0.3010299956639812</v>
      </c>
      <c r="C53" s="4">
        <f t="shared" si="1"/>
        <v>3.141592653589793</v>
      </c>
      <c r="D53" s="4">
        <f t="shared" si="18"/>
        <v>3.141617521451228</v>
      </c>
      <c r="E53">
        <f t="shared" si="9"/>
        <v>0.0125</v>
      </c>
      <c r="F53" s="4">
        <f t="shared" si="19"/>
        <v>3.141592653589793</v>
      </c>
      <c r="G53" s="4">
        <f t="shared" si="20"/>
        <v>9.863864817756232</v>
      </c>
      <c r="H53" s="4">
        <f t="shared" si="21"/>
        <v>-9.863864817756024</v>
      </c>
      <c r="I53" s="1">
        <f t="shared" si="10"/>
        <v>2.02E-06</v>
      </c>
      <c r="J53" s="1">
        <f t="shared" si="22"/>
        <v>0.3184976253725528</v>
      </c>
      <c r="K53" s="1">
        <f t="shared" si="23"/>
        <v>1.000589800056206</v>
      </c>
      <c r="L53" s="6">
        <f t="shared" si="8"/>
        <v>-9.9378760258468</v>
      </c>
    </row>
    <row r="54" spans="1:12" ht="12.75">
      <c r="A54" s="1">
        <v>0.7</v>
      </c>
      <c r="B54" s="4">
        <f t="shared" si="0"/>
        <v>-0.1549019599857432</v>
      </c>
      <c r="C54" s="4">
        <f t="shared" si="1"/>
        <v>4.39822971502571</v>
      </c>
      <c r="D54" s="4">
        <f t="shared" si="18"/>
        <v>4.398247477818312</v>
      </c>
      <c r="E54">
        <f t="shared" si="9"/>
        <v>0.0125</v>
      </c>
      <c r="F54" s="4">
        <f t="shared" si="19"/>
        <v>4.39822971502571</v>
      </c>
      <c r="G54" s="4">
        <f t="shared" si="20"/>
        <v>19.338685042801913</v>
      </c>
      <c r="H54" s="4">
        <f t="shared" si="21"/>
        <v>-19.338685042801806</v>
      </c>
      <c r="I54" s="1">
        <f t="shared" si="10"/>
        <v>2.02E-06</v>
      </c>
      <c r="J54" s="1">
        <f t="shared" si="22"/>
        <v>0.22743260299672707</v>
      </c>
      <c r="K54" s="1">
        <f t="shared" si="23"/>
        <v>1.0003008326658505</v>
      </c>
      <c r="L54" s="6">
        <f t="shared" si="8"/>
        <v>-12.862945561071307</v>
      </c>
    </row>
    <row r="55" spans="1:12" ht="12.75">
      <c r="A55" s="1">
        <v>1</v>
      </c>
      <c r="B55" s="4">
        <f t="shared" si="0"/>
        <v>0</v>
      </c>
      <c r="C55" s="4">
        <f t="shared" si="1"/>
        <v>6.283185307179586</v>
      </c>
      <c r="D55" s="4">
        <f t="shared" si="18"/>
        <v>6.283197741147212</v>
      </c>
      <c r="E55">
        <f t="shared" si="9"/>
        <v>0.0125</v>
      </c>
      <c r="F55" s="4">
        <f t="shared" si="19"/>
        <v>6.283185307179586</v>
      </c>
      <c r="G55" s="4">
        <f t="shared" si="20"/>
        <v>39.47267802102415</v>
      </c>
      <c r="H55" s="4">
        <f t="shared" si="21"/>
        <v>-39.4726780210241</v>
      </c>
      <c r="I55" s="1">
        <f t="shared" si="10"/>
        <v>2.02E-06</v>
      </c>
      <c r="J55" s="1">
        <f t="shared" si="22"/>
        <v>0.1591784002544905</v>
      </c>
      <c r="K55" s="1">
        <f t="shared" si="23"/>
        <v>1.0001473856993661</v>
      </c>
      <c r="L55" s="6">
        <f t="shared" si="8"/>
        <v>-15.96231728557392</v>
      </c>
    </row>
    <row r="56" spans="1:12" ht="12.75">
      <c r="A56" s="1">
        <v>1.5</v>
      </c>
      <c r="B56" s="4">
        <f t="shared" si="0"/>
        <v>0.17609125905568124</v>
      </c>
      <c r="C56" s="4">
        <f t="shared" si="1"/>
        <v>9.42477796076938</v>
      </c>
      <c r="D56" s="4">
        <f aca="true" t="shared" si="24" ref="D56:D61">SQRT(E56*E56+F56*F56)</f>
        <v>9.424786250085686</v>
      </c>
      <c r="E56">
        <f t="shared" si="9"/>
        <v>0.0125</v>
      </c>
      <c r="F56" s="4">
        <f aca="true" t="shared" si="25" ref="F56:F61">C56</f>
        <v>9.42477796076938</v>
      </c>
      <c r="G56" s="4">
        <f aca="true" t="shared" si="26" ref="G56:G61">SQRT(H56*H56+I56*I56)</f>
        <v>88.8207000264709</v>
      </c>
      <c r="H56" s="4">
        <f aca="true" t="shared" si="27" ref="H56:H61">$C$3/$C$1*($C$2+$C$4)-C56*C56</f>
        <v>-88.82070002647089</v>
      </c>
      <c r="I56" s="1">
        <f t="shared" si="10"/>
        <v>2.02E-06</v>
      </c>
      <c r="J56" s="1">
        <f aca="true" t="shared" si="28" ref="J56:J61">D56/G56</f>
        <v>0.10611024510363973</v>
      </c>
      <c r="K56" s="1">
        <f aca="true" t="shared" si="29" ref="K56:K61">J56*C56</f>
        <v>1.0000654994646208</v>
      </c>
      <c r="L56" s="6">
        <f aca="true" t="shared" si="30" ref="L56:L61">20*LOG10(J56)</f>
        <v>-19.48485364578608</v>
      </c>
    </row>
    <row r="57" spans="1:12" ht="12.75">
      <c r="A57" s="1">
        <v>2</v>
      </c>
      <c r="B57" s="4">
        <f t="shared" si="0"/>
        <v>0.3010299956639812</v>
      </c>
      <c r="C57" s="4">
        <f t="shared" si="1"/>
        <v>12.566370614359172</v>
      </c>
      <c r="D57" s="4">
        <f t="shared" si="24"/>
        <v>12.566376831347599</v>
      </c>
      <c r="E57">
        <f t="shared" si="9"/>
        <v>0.0125</v>
      </c>
      <c r="F57" s="4">
        <f t="shared" si="25"/>
        <v>12.566370614359172</v>
      </c>
      <c r="G57" s="4">
        <f t="shared" si="26"/>
        <v>157.9079308340964</v>
      </c>
      <c r="H57" s="4">
        <f t="shared" si="27"/>
        <v>-157.9079308340964</v>
      </c>
      <c r="I57" s="1">
        <f t="shared" si="10"/>
        <v>2.02E-06</v>
      </c>
      <c r="J57" s="1">
        <f t="shared" si="28"/>
        <v>0.07958040337157148</v>
      </c>
      <c r="K57" s="1">
        <f t="shared" si="29"/>
        <v>1.0000368424073653</v>
      </c>
      <c r="L57" s="6">
        <f t="shared" si="30"/>
        <v>-21.983877277252354</v>
      </c>
    </row>
    <row r="58" spans="1:12" ht="12.75">
      <c r="A58" s="1">
        <v>3</v>
      </c>
      <c r="B58" s="4">
        <f t="shared" si="0"/>
        <v>0.47712125471966244</v>
      </c>
      <c r="C58" s="4">
        <f t="shared" si="1"/>
        <v>18.84955592153876</v>
      </c>
      <c r="D58" s="4">
        <f t="shared" si="24"/>
        <v>18.84956006619828</v>
      </c>
      <c r="E58">
        <f t="shared" si="9"/>
        <v>0.0125</v>
      </c>
      <c r="F58" s="4">
        <f t="shared" si="25"/>
        <v>18.84955592153876</v>
      </c>
      <c r="G58" s="4">
        <f t="shared" si="26"/>
        <v>355.3000188558836</v>
      </c>
      <c r="H58" s="4">
        <f t="shared" si="27"/>
        <v>-355.3000188558836</v>
      </c>
      <c r="I58" s="1">
        <f t="shared" si="10"/>
        <v>2.02E-06</v>
      </c>
      <c r="J58" s="1">
        <f t="shared" si="28"/>
        <v>0.053052516368832556</v>
      </c>
      <c r="K58" s="1">
        <f t="shared" si="29"/>
        <v>1.0000163740726595</v>
      </c>
      <c r="L58" s="6">
        <f t="shared" si="30"/>
        <v>-25.505880239331876</v>
      </c>
    </row>
    <row r="59" spans="1:12" ht="12.75">
      <c r="A59" s="1">
        <v>4</v>
      </c>
      <c r="B59" s="4">
        <f t="shared" si="0"/>
        <v>0.6020599913279624</v>
      </c>
      <c r="C59" s="4">
        <f t="shared" si="1"/>
        <v>25.132741228718345</v>
      </c>
      <c r="D59" s="4">
        <f t="shared" si="24"/>
        <v>25.132744337213136</v>
      </c>
      <c r="E59">
        <f t="shared" si="9"/>
        <v>0.0125</v>
      </c>
      <c r="F59" s="4">
        <f t="shared" si="25"/>
        <v>25.132741228718345</v>
      </c>
      <c r="G59" s="4">
        <f t="shared" si="26"/>
        <v>631.6489420863855</v>
      </c>
      <c r="H59" s="4">
        <f t="shared" si="27"/>
        <v>-631.6489420863855</v>
      </c>
      <c r="I59" s="1">
        <f t="shared" si="10"/>
        <v>2.02E-06</v>
      </c>
      <c r="J59" s="1">
        <f t="shared" si="28"/>
        <v>0.03978910224118753</v>
      </c>
      <c r="K59" s="1">
        <f t="shared" si="29"/>
        <v>1.0000092103507834</v>
      </c>
      <c r="L59" s="6">
        <f t="shared" si="30"/>
        <v>-28.00471719399953</v>
      </c>
    </row>
    <row r="60" spans="1:12" ht="12.75">
      <c r="A60" s="1">
        <v>5</v>
      </c>
      <c r="B60" s="4">
        <f t="shared" si="0"/>
        <v>0.6989700043360189</v>
      </c>
      <c r="C60" s="4">
        <f t="shared" si="1"/>
        <v>31.41592653589793</v>
      </c>
      <c r="D60" s="4">
        <f t="shared" si="24"/>
        <v>31.41592902269382</v>
      </c>
      <c r="E60">
        <f t="shared" si="9"/>
        <v>0.0125</v>
      </c>
      <c r="F60" s="4">
        <f t="shared" si="25"/>
        <v>31.41592653589793</v>
      </c>
      <c r="G60" s="4">
        <f t="shared" si="26"/>
        <v>986.9547005256024</v>
      </c>
      <c r="H60" s="4">
        <f t="shared" si="27"/>
        <v>-986.9547005256024</v>
      </c>
      <c r="I60" s="1">
        <f t="shared" si="10"/>
        <v>2.02E-06</v>
      </c>
      <c r="J60" s="1">
        <f t="shared" si="28"/>
        <v>0.03183117624949076</v>
      </c>
      <c r="K60" s="1">
        <f t="shared" si="29"/>
        <v>1.0000058946052206</v>
      </c>
      <c r="L60" s="6">
        <f t="shared" si="30"/>
        <v>-29.942946254143173</v>
      </c>
    </row>
    <row r="61" spans="1:12" ht="12.75">
      <c r="A61" s="1">
        <v>7</v>
      </c>
      <c r="B61" s="4">
        <f t="shared" si="0"/>
        <v>0.8450980400142568</v>
      </c>
      <c r="C61" s="4">
        <f t="shared" si="1"/>
        <v>43.982297150257104</v>
      </c>
      <c r="D61" s="4">
        <f t="shared" si="24"/>
        <v>43.98229892653991</v>
      </c>
      <c r="E61">
        <f t="shared" si="9"/>
        <v>0.0125</v>
      </c>
      <c r="F61" s="4">
        <f t="shared" si="25"/>
        <v>43.982297150257104</v>
      </c>
      <c r="G61" s="4">
        <f t="shared" si="26"/>
        <v>1934.436723030181</v>
      </c>
      <c r="H61" s="4">
        <f t="shared" si="27"/>
        <v>-1934.436723030181</v>
      </c>
      <c r="I61" s="1">
        <f t="shared" si="10"/>
        <v>2.02E-06</v>
      </c>
      <c r="J61" s="1">
        <f t="shared" si="28"/>
        <v>0.0227364888201896</v>
      </c>
      <c r="K61" s="1">
        <f t="shared" si="29"/>
        <v>1.0000030074430775</v>
      </c>
      <c r="L61" s="6">
        <f t="shared" si="30"/>
        <v>-32.86553204516805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Graphs of STM-8 performance</dc:subject>
  <dc:creator>Brett Nordgren</dc:creator>
  <cp:keywords/>
  <dc:description>Rev. 26 Oct. 2004 </dc:description>
  <cp:lastModifiedBy>Brett Nordgren</cp:lastModifiedBy>
  <cp:lastPrinted>2004-10-24T13:57:46Z</cp:lastPrinted>
  <dcterms:created xsi:type="dcterms:W3CDTF">1998-10-30T11:56:21Z</dcterms:created>
  <dcterms:modified xsi:type="dcterms:W3CDTF">2004-10-28T14:49:50Z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vised">
    <vt:filetime>2004-10-26T04:00:00Z</vt:filetime>
  </property>
</Properties>
</file>