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68" windowHeight="10164" tabRatio="468" activeTab="0"/>
  </bookViews>
  <sheets>
    <sheet name="Read Me" sheetId="1" r:id="rId1"/>
    <sheet name="Station Peak" sheetId="2" r:id="rId2"/>
    <sheet name="My Site" sheetId="3" r:id="rId3"/>
    <sheet name="Displacement" sheetId="4" r:id="rId4"/>
    <sheet name="Velocity" sheetId="5" r:id="rId5"/>
    <sheet name="Acceleration" sheetId="6" r:id="rId6"/>
    <sheet name="Work" sheetId="7" r:id="rId7"/>
  </sheets>
  <definedNames>
    <definedName name="OLE_LINK4" localSheetId="0">'Read Me'!#REF!</definedName>
  </definedNames>
  <calcPr fullCalcOnLoad="1"/>
</workbook>
</file>

<file path=xl/sharedStrings.xml><?xml version="1.0" encoding="utf-8"?>
<sst xmlns="http://schemas.openxmlformats.org/spreadsheetml/2006/main" count="221" uniqueCount="203">
  <si>
    <t>AAM</t>
  </si>
  <si>
    <t>ACSO</t>
  </si>
  <si>
    <t>AHID</t>
  </si>
  <si>
    <t>ANMO</t>
  </si>
  <si>
    <t>BINY</t>
  </si>
  <si>
    <t>BLA</t>
  </si>
  <si>
    <t>BLO</t>
  </si>
  <si>
    <t>BMN</t>
  </si>
  <si>
    <t>BOZ</t>
  </si>
  <si>
    <t>BW06</t>
  </si>
  <si>
    <t>CBKS</t>
  </si>
  <si>
    <t>CBN</t>
  </si>
  <si>
    <t>CCM</t>
  </si>
  <si>
    <t>CMB</t>
  </si>
  <si>
    <t>COR</t>
  </si>
  <si>
    <t>DAC</t>
  </si>
  <si>
    <t>DUG</t>
  </si>
  <si>
    <t>DWPF</t>
  </si>
  <si>
    <t>ELK</t>
  </si>
  <si>
    <t>EYMN</t>
  </si>
  <si>
    <t>GOGA</t>
  </si>
  <si>
    <t>HAWA</t>
  </si>
  <si>
    <t>HKT</t>
  </si>
  <si>
    <t>HLID</t>
  </si>
  <si>
    <t>HOPS</t>
  </si>
  <si>
    <t>HRV</t>
  </si>
  <si>
    <t>HWUT</t>
  </si>
  <si>
    <t>ISCO</t>
  </si>
  <si>
    <t>JCT</t>
  </si>
  <si>
    <t>JFWS</t>
  </si>
  <si>
    <t>KNB</t>
  </si>
  <si>
    <t>LBNH</t>
  </si>
  <si>
    <t>LKWY</t>
  </si>
  <si>
    <t>LRAL</t>
  </si>
  <si>
    <t>LSCT</t>
  </si>
  <si>
    <t>LTX</t>
  </si>
  <si>
    <t>MCWV</t>
  </si>
  <si>
    <t>MIAR</t>
  </si>
  <si>
    <t>MNV</t>
  </si>
  <si>
    <t>MOD</t>
  </si>
  <si>
    <t>MVU</t>
  </si>
  <si>
    <t>MYNC</t>
  </si>
  <si>
    <t>NCB</t>
  </si>
  <si>
    <t>NEW</t>
  </si>
  <si>
    <t>NHSC</t>
  </si>
  <si>
    <t>OCWA</t>
  </si>
  <si>
    <t>OXF</t>
  </si>
  <si>
    <t>PAS</t>
  </si>
  <si>
    <t>PFO</t>
  </si>
  <si>
    <t>PLAL</t>
  </si>
  <si>
    <t>RSSD</t>
  </si>
  <si>
    <t>SAO</t>
  </si>
  <si>
    <t>SDCO</t>
  </si>
  <si>
    <t>SLM</t>
  </si>
  <si>
    <t>SSPA</t>
  </si>
  <si>
    <t>TPH</t>
  </si>
  <si>
    <t>TPNV</t>
  </si>
  <si>
    <t>TUC</t>
  </si>
  <si>
    <t>WCI</t>
  </si>
  <si>
    <t>WDC</t>
  </si>
  <si>
    <t>WMOK</t>
  </si>
  <si>
    <t>WUAZ</t>
  </si>
  <si>
    <t>WVOR</t>
  </si>
  <si>
    <t>WVT</t>
  </si>
  <si>
    <t>EGMT</t>
  </si>
  <si>
    <t>DGMT</t>
  </si>
  <si>
    <t>VKMN</t>
  </si>
  <si>
    <t>COWI</t>
  </si>
  <si>
    <t>GRMI</t>
  </si>
  <si>
    <t>OGNE</t>
  </si>
  <si>
    <t>SCIA</t>
  </si>
  <si>
    <t>PDNY</t>
  </si>
  <si>
    <t>MIME</t>
  </si>
  <si>
    <t>MONC</t>
  </si>
  <si>
    <t>ATAL</t>
  </si>
  <si>
    <t>GHTX</t>
  </si>
  <si>
    <t>SNSD</t>
  </si>
  <si>
    <t>ANND</t>
  </si>
  <si>
    <t>AMTX</t>
  </si>
  <si>
    <t>BNMN</t>
  </si>
  <si>
    <t>BRMT</t>
  </si>
  <si>
    <t>KCCO</t>
  </si>
  <si>
    <t>ERPA</t>
  </si>
  <si>
    <t>SEKY</t>
  </si>
  <si>
    <t>CLKS</t>
  </si>
  <si>
    <t>NNNM</t>
  </si>
  <si>
    <t>MNTX</t>
  </si>
  <si>
    <t>PGV (m/s)</t>
  </si>
  <si>
    <t>My Latitude</t>
  </si>
  <si>
    <t>My Longitude</t>
  </si>
  <si>
    <r>
      <t>PGA 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)</t>
    </r>
  </si>
  <si>
    <t>Latitude</t>
  </si>
  <si>
    <t>Longitude</t>
  </si>
  <si>
    <t>Station Code</t>
  </si>
  <si>
    <t>PGA     g's</t>
  </si>
  <si>
    <t>Latitude radians</t>
  </si>
  <si>
    <t>PGD meters</t>
  </si>
  <si>
    <t>sec</t>
  </si>
  <si>
    <r>
      <t>sec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</si>
  <si>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V / A</t>
  </si>
  <si>
    <t>Degrees From Me</t>
  </si>
  <si>
    <t>N +, S -</t>
  </si>
  <si>
    <t>E +, W -</t>
  </si>
  <si>
    <t>degrees</t>
  </si>
  <si>
    <t>meters/sec/g</t>
  </si>
  <si>
    <r>
      <t>meters/sec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</si>
  <si>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meters/g</t>
  </si>
  <si>
    <t>Hz</t>
  </si>
  <si>
    <r>
      <t>(= 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  <r>
      <rPr>
        <sz val="12"/>
        <rFont val="Symbol"/>
        <family val="1"/>
      </rP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</t>
    </r>
    <r>
      <rPr>
        <sz val="12"/>
        <rFont val="Symbol"/>
        <family val="1"/>
      </rP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)</t>
    </r>
  </si>
  <si>
    <t>Longitude radians</t>
  </si>
  <si>
    <t>PGA =</t>
  </si>
  <si>
    <r>
      <t>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</si>
  <si>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</si>
  <si>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</si>
  <si>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sec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</t>
    </r>
  </si>
  <si>
    <t>Displacement Magnitude</t>
  </si>
  <si>
    <t>Velocity Magnitude</t>
  </si>
  <si>
    <t>Acceleration Magnitude</t>
  </si>
  <si>
    <t>Frequency Markers</t>
  </si>
  <si>
    <r>
      <t>=f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</si>
  <si>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=f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</si>
  <si>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Denom.</t>
  </si>
  <si>
    <t>Freq - Hz</t>
  </si>
  <si>
    <t>My site</t>
  </si>
  <si>
    <t>Asymptotes</t>
  </si>
  <si>
    <t>PGV =</t>
  </si>
  <si>
    <t>PGD =</t>
  </si>
  <si>
    <t>m/s</t>
  </si>
  <si>
    <t>meters</t>
  </si>
  <si>
    <t>f</t>
  </si>
  <si>
    <r>
      <t>2</t>
    </r>
    <r>
      <rPr>
        <sz val="12"/>
        <rFont val="Symbol"/>
        <family val="1"/>
      </rPr>
      <t>p</t>
    </r>
    <r>
      <rPr>
        <sz val="10"/>
        <rFont val="Arial"/>
        <family val="0"/>
      </rPr>
      <t>f</t>
    </r>
  </si>
  <si>
    <r>
      <t>(w</t>
    </r>
    <r>
      <rPr>
        <vertAlign val="subscript"/>
        <sz val="10"/>
        <rFont val="Arial"/>
        <family val="2"/>
      </rPr>
      <t>1</t>
    </r>
    <r>
      <rPr>
        <sz val="12"/>
        <rFont val="Symbol"/>
        <family val="1"/>
      </rPr>
      <t>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</t>
    </r>
    <r>
      <rPr>
        <sz val="12"/>
        <rFont val="Symbol"/>
        <family val="1"/>
      </rPr>
      <t>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)+j</t>
    </r>
    <r>
      <rPr>
        <sz val="12"/>
        <rFont val="Symbol"/>
        <family val="1"/>
      </rPr>
      <t>w</t>
    </r>
    <r>
      <rPr>
        <sz val="10"/>
        <rFont val="Arial"/>
        <family val="0"/>
      </rPr>
      <t>(</t>
    </r>
    <r>
      <rPr>
        <sz val="12"/>
        <rFont val="Symbol"/>
        <family val="1"/>
      </rPr>
      <t>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</t>
    </r>
    <r>
      <rPr>
        <sz val="12"/>
        <rFont val="Symbol"/>
        <family val="1"/>
      </rPr>
      <t>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) </t>
    </r>
  </si>
  <si>
    <r>
      <t>w</t>
    </r>
    <r>
      <rPr>
        <b/>
        <sz val="10"/>
        <rFont val="Arial"/>
        <family val="2"/>
      </rPr>
      <t xml:space="preserve">   rad/sec</t>
    </r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</si>
  <si>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</si>
  <si>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</si>
  <si>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= 4f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</si>
  <si>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= 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</si>
  <si>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=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</si>
  <si>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>=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/4</t>
    </r>
  </si>
  <si>
    <t>A1</t>
  </si>
  <si>
    <t>A2</t>
  </si>
  <si>
    <t>A3</t>
  </si>
  <si>
    <t>f1</t>
  </si>
  <si>
    <t>f2</t>
  </si>
  <si>
    <r>
      <t xml:space="preserve">V = </t>
    </r>
    <r>
      <rPr>
        <sz val="12"/>
        <rFont val="Symbol"/>
        <family val="1"/>
      </rPr>
      <t>w</t>
    </r>
    <r>
      <rPr>
        <sz val="10"/>
        <rFont val="Arial"/>
        <family val="0"/>
      </rPr>
      <t>D</t>
    </r>
  </si>
  <si>
    <r>
      <t xml:space="preserve">A = </t>
    </r>
    <r>
      <rPr>
        <sz val="12"/>
        <rFont val="Symbol"/>
        <family val="1"/>
      </rPr>
      <t>w</t>
    </r>
    <r>
      <rPr>
        <sz val="10"/>
        <rFont val="Arial"/>
        <family val="0"/>
      </rPr>
      <t>V</t>
    </r>
  </si>
  <si>
    <t>(Newmark &amp; Hall suggest 0.91 for rock, 1.22 for 'competent soil')</t>
  </si>
  <si>
    <t xml:space="preserve">1g =  </t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</si>
  <si>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 </t>
    </r>
  </si>
  <si>
    <t xml:space="preserve">D / A =  </t>
  </si>
  <si>
    <r>
      <t xml:space="preserve">V / A = </t>
    </r>
    <r>
      <rPr>
        <sz val="12"/>
        <rFont val="Symbol"/>
        <family val="1"/>
      </rP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</si>
  <si>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 xml:space="preserve">D / V = </t>
    </r>
    <r>
      <rPr>
        <sz val="12"/>
        <rFont val="Symbol"/>
        <family val="1"/>
      </rPr>
      <t>t</t>
    </r>
    <r>
      <rPr>
        <vertAlign val="subscript"/>
        <sz val="12"/>
        <rFont val="Symbol"/>
        <family val="1"/>
      </rPr>
      <t>1</t>
    </r>
    <r>
      <rPr>
        <sz val="10"/>
        <rFont val="Arial"/>
        <family val="0"/>
      </rPr>
      <t xml:space="preserve"> =  </t>
    </r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</si>
  <si>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   </t>
    </r>
  </si>
  <si>
    <r>
      <t>AD/V</t>
    </r>
    <r>
      <rPr>
        <vertAlign val="superscript"/>
        <sz val="10"/>
        <rFont val="Arial"/>
        <family val="2"/>
      </rPr>
      <t xml:space="preserve"> 2</t>
    </r>
    <r>
      <rPr>
        <sz val="10"/>
        <rFont val="Arial"/>
        <family val="0"/>
      </rPr>
      <t xml:space="preserve"> </t>
    </r>
  </si>
  <si>
    <t>Computed values</t>
  </si>
  <si>
    <t>From McNamara, Buland &amp; Benz                                  USGS OFR 2005-1437</t>
  </si>
  <si>
    <t>D = |PGA / Denom|</t>
  </si>
  <si>
    <t>My PGA</t>
  </si>
  <si>
    <t>% of g</t>
  </si>
  <si>
    <t>Distance computation</t>
  </si>
  <si>
    <r>
      <t>PGA*          % of g</t>
    </r>
  </si>
  <si>
    <t xml:space="preserve">* PGA values are for 10% probablity of being exceeded in 30 years. </t>
  </si>
  <si>
    <t>My Site</t>
  </si>
  <si>
    <t>Note:  Green cells should not be altered as they</t>
  </si>
  <si>
    <t xml:space="preserve">        contain formulas referencing 'Station Peak'.</t>
  </si>
  <si>
    <t xml:space="preserve">           Blue cells should not be changed, as they contain formulas.</t>
  </si>
  <si>
    <t>To sort data, first do 'Tools/Protection/Unprotect Sheet'</t>
  </si>
  <si>
    <t xml:space="preserve">PIA = </t>
  </si>
  <si>
    <t xml:space="preserve">PIV = </t>
  </si>
  <si>
    <t xml:space="preserve">PID = </t>
  </si>
  <si>
    <r>
      <t>f</t>
    </r>
    <r>
      <rPr>
        <vertAlign val="subscript"/>
        <sz val="10"/>
        <rFont val="Arial"/>
        <family val="2"/>
      </rPr>
      <t>DV</t>
    </r>
    <r>
      <rPr>
        <sz val="10"/>
        <rFont val="Arial"/>
        <family val="0"/>
      </rPr>
      <t xml:space="preserve"> =  </t>
    </r>
  </si>
  <si>
    <r>
      <t>f</t>
    </r>
    <r>
      <rPr>
        <vertAlign val="subscript"/>
        <sz val="10"/>
        <rFont val="Arial"/>
        <family val="2"/>
      </rPr>
      <t>VA</t>
    </r>
    <r>
      <rPr>
        <sz val="10"/>
        <rFont val="Arial"/>
        <family val="0"/>
      </rPr>
      <t xml:space="preserve"> =   </t>
    </r>
  </si>
  <si>
    <r>
      <t>= f</t>
    </r>
    <r>
      <rPr>
        <vertAlign val="subscript"/>
        <sz val="10"/>
        <rFont val="Arial"/>
        <family val="2"/>
      </rPr>
      <t>VA</t>
    </r>
    <r>
      <rPr>
        <sz val="10"/>
        <rFont val="Arial"/>
        <family val="0"/>
      </rPr>
      <t xml:space="preserve"> </t>
    </r>
  </si>
  <si>
    <r>
      <t>= f</t>
    </r>
    <r>
      <rPr>
        <vertAlign val="subscript"/>
        <sz val="10"/>
        <rFont val="Arial"/>
        <family val="2"/>
      </rPr>
      <t>DV</t>
    </r>
    <r>
      <rPr>
        <sz val="10"/>
        <rFont val="Arial"/>
        <family val="0"/>
      </rPr>
      <t xml:space="preserve"> </t>
    </r>
  </si>
  <si>
    <t>B1</t>
  </si>
  <si>
    <t>B2</t>
  </si>
  <si>
    <r>
      <t>= f</t>
    </r>
    <r>
      <rPr>
        <vertAlign val="subscript"/>
        <sz val="10"/>
        <rFont val="Arial"/>
        <family val="2"/>
      </rPr>
      <t>DV</t>
    </r>
  </si>
  <si>
    <r>
      <t>= f</t>
    </r>
    <r>
      <rPr>
        <vertAlign val="subscript"/>
        <sz val="10"/>
        <rFont val="Arial"/>
        <family val="2"/>
      </rPr>
      <t>DV</t>
    </r>
    <r>
      <rPr>
        <sz val="10"/>
        <rFont val="Arial"/>
        <family val="0"/>
      </rPr>
      <t xml:space="preserve"> /50</t>
    </r>
  </si>
  <si>
    <r>
      <t>= f</t>
    </r>
    <r>
      <rPr>
        <vertAlign val="subscript"/>
        <sz val="10"/>
        <rFont val="Arial"/>
        <family val="2"/>
      </rPr>
      <t>VA</t>
    </r>
    <r>
      <rPr>
        <sz val="10"/>
        <rFont val="Arial"/>
        <family val="0"/>
      </rPr>
      <t xml:space="preserve"> *50</t>
    </r>
  </si>
  <si>
    <t>B3</t>
  </si>
  <si>
    <t>My Peak Instrument Acceleration, Velocity and Displacement</t>
  </si>
  <si>
    <t>Note:  Yellow cells are data, intended to be altered by the user.</t>
  </si>
  <si>
    <t>Example Values</t>
  </si>
  <si>
    <t>Given</t>
  </si>
  <si>
    <t>Exposure time</t>
  </si>
  <si>
    <t>years</t>
  </si>
  <si>
    <t>Exceedance probability</t>
  </si>
  <si>
    <t>Non exceedance probability</t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</si>
  <si>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</si>
  <si>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t>Return Period</t>
  </si>
  <si>
    <r>
      <t>RP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</si>
  <si>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</si>
  <si>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r(a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) = </t>
    </r>
  </si>
  <si>
    <r>
      <t>F(a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=1-r(a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) = </t>
    </r>
  </si>
  <si>
    <r>
      <t>f</t>
    </r>
    <r>
      <rPr>
        <sz val="10"/>
        <rFont val="Arial"/>
        <family val="0"/>
      </rPr>
      <t>(a1)</t>
    </r>
  </si>
  <si>
    <r>
      <t>year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</t>
    </r>
  </si>
  <si>
    <t>g</t>
  </si>
  <si>
    <r>
      <t>f</t>
    </r>
    <r>
      <rPr>
        <sz val="10"/>
        <rFont val="Arial"/>
        <family val="0"/>
      </rPr>
      <t>(a)</t>
    </r>
  </si>
  <si>
    <t>a</t>
  </si>
  <si>
    <t>F(a)</t>
  </si>
  <si>
    <t>T</t>
  </si>
  <si>
    <t>RP</t>
  </si>
  <si>
    <t>Annual Rate (Freq) of exceedance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</si>
</sst>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  <numFmt numFmtId="167" formatCode="0.00000E+00"/>
    <numFmt numFmtId="168" formatCode="0.0000E+00"/>
    <numFmt numFmtId="169" formatCode="0.0E+00"/>
    <numFmt numFmtId="170" formatCode="0.000E+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"/>
    <numFmt numFmtId="178" formatCode="0.000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2"/>
      <name val="Symbol"/>
      <family val="1"/>
    </font>
    <font>
      <vertAlign val="subscript"/>
      <sz val="12"/>
      <name val="Symbol"/>
      <family val="1"/>
    </font>
    <font>
      <b/>
      <sz val="12"/>
      <name val="Symbol"/>
      <family val="1"/>
    </font>
    <font>
      <sz val="9.5"/>
      <name val="Arial"/>
      <family val="0"/>
    </font>
    <font>
      <sz val="9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11.5"/>
      <name val="Arial"/>
      <family val="2"/>
    </font>
    <font>
      <vertAlign val="subscript"/>
      <sz val="11.5"/>
      <name val="Arial"/>
      <family val="2"/>
    </font>
    <font>
      <vertAlign val="subscript"/>
      <sz val="12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b/>
      <sz val="12"/>
      <name val="Arial"/>
      <family val="2"/>
    </font>
    <font>
      <b/>
      <sz val="9.5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2"/>
      <color indexed="18"/>
      <name val="Arial"/>
      <family val="2"/>
    </font>
    <font>
      <sz val="11.5"/>
      <color indexed="18"/>
      <name val="Arial"/>
      <family val="2"/>
    </font>
    <font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0" fontId="0" fillId="0" borderId="7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6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6" fillId="0" borderId="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166" fontId="0" fillId="0" borderId="11" xfId="0" applyNumberFormat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0" fontId="0" fillId="0" borderId="7" xfId="0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7" xfId="0" applyFont="1" applyBorder="1" applyAlignment="1">
      <alignment horizontal="right"/>
    </xf>
    <xf numFmtId="166" fontId="0" fillId="0" borderId="14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2" xfId="0" applyNumberFormat="1" applyBorder="1" applyAlignment="1">
      <alignment/>
    </xf>
    <xf numFmtId="11" fontId="0" fillId="0" borderId="11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7" xfId="0" applyBorder="1" applyAlignment="1">
      <alignment vertical="center"/>
    </xf>
    <xf numFmtId="0" fontId="0" fillId="0" borderId="15" xfId="0" applyBorder="1" applyAlignment="1" quotePrefix="1">
      <alignment/>
    </xf>
    <xf numFmtId="0" fontId="0" fillId="0" borderId="11" xfId="0" applyBorder="1" applyAlignment="1" quotePrefix="1">
      <alignment/>
    </xf>
    <xf numFmtId="170" fontId="0" fillId="0" borderId="11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0" fillId="0" borderId="11" xfId="0" applyFill="1" applyBorder="1" applyAlignment="1" quotePrefix="1">
      <alignment/>
    </xf>
    <xf numFmtId="0" fontId="0" fillId="0" borderId="17" xfId="0" applyFont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1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3" borderId="15" xfId="0" applyNumberFormat="1" applyFill="1" applyBorder="1" applyAlignment="1" applyProtection="1">
      <alignment/>
      <protection locked="0"/>
    </xf>
    <xf numFmtId="164" fontId="0" fillId="3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Alignment="1">
      <alignment/>
    </xf>
    <xf numFmtId="164" fontId="0" fillId="3" borderId="0" xfId="0" applyNumberFormat="1" applyFill="1" applyAlignment="1" applyProtection="1">
      <alignment horizontal="right"/>
      <protection locked="0"/>
    </xf>
    <xf numFmtId="0" fontId="0" fillId="3" borderId="0" xfId="0" applyNumberFormat="1" applyFill="1" applyAlignment="1" applyProtection="1">
      <alignment/>
      <protection locked="0"/>
    </xf>
    <xf numFmtId="171" fontId="0" fillId="4" borderId="0" xfId="0" applyNumberFormat="1" applyFill="1" applyAlignment="1">
      <alignment/>
    </xf>
    <xf numFmtId="164" fontId="0" fillId="3" borderId="1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/>
    </xf>
    <xf numFmtId="166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Border="1" applyAlignment="1">
      <alignment horizontal="right"/>
    </xf>
    <xf numFmtId="166" fontId="0" fillId="4" borderId="15" xfId="0" applyNumberFormat="1" applyFill="1" applyBorder="1" applyAlignment="1">
      <alignment/>
    </xf>
    <xf numFmtId="166" fontId="0" fillId="4" borderId="11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1" fontId="0" fillId="0" borderId="11" xfId="0" applyNumberFormat="1" applyFill="1" applyBorder="1" applyAlignment="1">
      <alignment/>
    </xf>
    <xf numFmtId="0" fontId="0" fillId="0" borderId="15" xfId="0" applyFill="1" applyBorder="1" applyAlignment="1" quotePrefix="1">
      <alignment/>
    </xf>
    <xf numFmtId="166" fontId="0" fillId="0" borderId="21" xfId="0" applyNumberFormat="1" applyBorder="1" applyAlignment="1">
      <alignment/>
    </xf>
    <xf numFmtId="0" fontId="0" fillId="0" borderId="10" xfId="0" applyBorder="1" applyAlignment="1" quotePrefix="1">
      <alignment/>
    </xf>
    <xf numFmtId="11" fontId="0" fillId="0" borderId="10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0" fillId="3" borderId="0" xfId="0" applyNumberFormat="1" applyFill="1" applyBorder="1" applyAlignment="1" applyProtection="1">
      <alignment/>
      <protection locked="0"/>
    </xf>
    <xf numFmtId="0" fontId="0" fillId="3" borderId="11" xfId="0" applyNumberFormat="1" applyFill="1" applyBorder="1" applyAlignment="1" applyProtection="1">
      <alignment/>
      <protection locked="0"/>
    </xf>
    <xf numFmtId="0" fontId="0" fillId="5" borderId="0" xfId="0" applyFill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6" fontId="0" fillId="3" borderId="0" xfId="0" applyNumberFormat="1" applyFill="1" applyAlignment="1">
      <alignment/>
    </xf>
    <xf numFmtId="0" fontId="0" fillId="3" borderId="0" xfId="0" applyFill="1" applyAlignment="1">
      <alignment/>
    </xf>
    <xf numFmtId="176" fontId="0" fillId="4" borderId="0" xfId="0" applyNumberFormat="1" applyFill="1" applyAlignment="1">
      <alignment/>
    </xf>
    <xf numFmtId="177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 horizontal="right"/>
    </xf>
    <xf numFmtId="0" fontId="0" fillId="4" borderId="0" xfId="0" applyFill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6" fillId="0" borderId="1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My Site
Ground Displacement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meters</a:t>
            </a:r>
          </a:p>
        </c:rich>
      </c:tx>
      <c:layout>
        <c:manualLayout>
          <c:xMode val="factor"/>
          <c:yMode val="factor"/>
          <c:x val="0.01"/>
          <c:y val="-0.0035"/>
        </c:manualLayout>
      </c:layout>
      <c:spPr>
        <a:pattFill prst="pct5">
          <a:fgClr>
            <a:srgbClr val="FFFFFF"/>
          </a:fgClr>
          <a:bgClr>
            <a:srgbClr val="FFFFFF"/>
          </a:bgClr>
        </a:pattFill>
        <a:ln w="25400">
          <a:solidFill/>
        </a:ln>
      </c:spPr>
    </c:title>
    <c:plotArea>
      <c:layout>
        <c:manualLayout>
          <c:xMode val="edge"/>
          <c:yMode val="edge"/>
          <c:x val="0.03575"/>
          <c:y val="0.138"/>
          <c:w val="0.9185"/>
          <c:h val="0.8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'My Site'!$A$6:$B$6</c:f>
              <c:strCache>
                <c:ptCount val="1"/>
                <c:pt idx="0">
                  <c:v>PGA = 0.15680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Site'!$A$21:$A$95</c:f>
              <c:numCache>
                <c:ptCount val="75"/>
                <c:pt idx="0">
                  <c:v>0.0001</c:v>
                </c:pt>
                <c:pt idx="1">
                  <c:v>0.00015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'My Site'!$D$21:$D$95</c:f>
              <c:numCache>
                <c:ptCount val="75"/>
                <c:pt idx="0">
                  <c:v>0.00877857464317348</c:v>
                </c:pt>
                <c:pt idx="1">
                  <c:v>0.008778573894755627</c:v>
                </c:pt>
                <c:pt idx="2">
                  <c:v>0.008778572834994799</c:v>
                </c:pt>
                <c:pt idx="3">
                  <c:v>0.008778569884850405</c:v>
                </c:pt>
                <c:pt idx="4">
                  <c:v>0.008778565693765162</c:v>
                </c:pt>
                <c:pt idx="5">
                  <c:v>0.008778560299780157</c:v>
                </c:pt>
                <c:pt idx="6">
                  <c:v>0.008778553702901797</c:v>
                </c:pt>
                <c:pt idx="7">
                  <c:v>0.008778545903137943</c:v>
                </c:pt>
                <c:pt idx="8">
                  <c:v>0.00877853690049787</c:v>
                </c:pt>
                <c:pt idx="9">
                  <c:v>0.008778526866379402</c:v>
                </c:pt>
                <c:pt idx="10">
                  <c:v>0.008778515477113275</c:v>
                </c:pt>
                <c:pt idx="11">
                  <c:v>0.008778440774140701</c:v>
                </c:pt>
                <c:pt idx="12">
                  <c:v>0.0087783346681095</c:v>
                </c:pt>
                <c:pt idx="13">
                  <c:v>0.008778039691043037</c:v>
                </c:pt>
                <c:pt idx="14">
                  <c:v>0.008777620684451181</c:v>
                </c:pt>
                <c:pt idx="15">
                  <c:v>0.008777081501485548</c:v>
                </c:pt>
                <c:pt idx="16">
                  <c:v>0.008776422206261314</c:v>
                </c:pt>
                <c:pt idx="17">
                  <c:v>0.0087756428771486</c:v>
                </c:pt>
                <c:pt idx="18">
                  <c:v>0.008774743606746451</c:v>
                </c:pt>
                <c:pt idx="19">
                  <c:v>0.008773741613485063</c:v>
                </c:pt>
                <c:pt idx="20">
                  <c:v>0.008772604694255563</c:v>
                </c:pt>
                <c:pt idx="21">
                  <c:v>0.008771348194322364</c:v>
                </c:pt>
                <c:pt idx="22">
                  <c:v>0.008769972262623103</c:v>
                </c:pt>
                <c:pt idx="23">
                  <c:v>0.008768477062124918</c:v>
                </c:pt>
                <c:pt idx="24">
                  <c:v>0.008766862769770619</c:v>
                </c:pt>
                <c:pt idx="25">
                  <c:v>0.00876515801506652</c:v>
                </c:pt>
                <c:pt idx="26">
                  <c:v>0.00875461202653562</c:v>
                </c:pt>
                <c:pt idx="27">
                  <c:v>0.008725483892564632</c:v>
                </c:pt>
                <c:pt idx="28">
                  <c:v>0.008684581429409468</c:v>
                </c:pt>
                <c:pt idx="29">
                  <c:v>0.008632746685502436</c:v>
                </c:pt>
                <c:pt idx="30">
                  <c:v>0.008570552330897032</c:v>
                </c:pt>
                <c:pt idx="31">
                  <c:v>0.008498662093435779</c:v>
                </c:pt>
                <c:pt idx="32">
                  <c:v>0.008417812151532042</c:v>
                </c:pt>
                <c:pt idx="33">
                  <c:v>0.008330264435708449</c:v>
                </c:pt>
                <c:pt idx="34">
                  <c:v>0.008234007136420701</c:v>
                </c:pt>
                <c:pt idx="35">
                  <c:v>0.007673313546567455</c:v>
                </c:pt>
                <c:pt idx="36">
                  <c:v>0.007037485225468052</c:v>
                </c:pt>
                <c:pt idx="37">
                  <c:v>0.005840207156800588</c:v>
                </c:pt>
                <c:pt idx="38">
                  <c:v>0.004832818600482565</c:v>
                </c:pt>
                <c:pt idx="39">
                  <c:v>0.0040455177349494765</c:v>
                </c:pt>
                <c:pt idx="40">
                  <c:v>0.003432664100880778</c:v>
                </c:pt>
                <c:pt idx="41">
                  <c:v>0.0029494253022587214</c:v>
                </c:pt>
                <c:pt idx="42">
                  <c:v>0.0025619027805284128</c:v>
                </c:pt>
                <c:pt idx="43">
                  <c:v>0.002250530624039832</c:v>
                </c:pt>
                <c:pt idx="44">
                  <c:v>0.001988406230519805</c:v>
                </c:pt>
                <c:pt idx="45">
                  <c:v>0.0011697834391369935</c:v>
                </c:pt>
                <c:pt idx="46">
                  <c:v>0.0007560626177294949</c:v>
                </c:pt>
                <c:pt idx="47">
                  <c:v>0.0003869904080427225</c:v>
                </c:pt>
                <c:pt idx="48">
                  <c:v>0.00022954186546947516</c:v>
                </c:pt>
                <c:pt idx="49">
                  <c:v>0.00015080850990777705</c:v>
                </c:pt>
                <c:pt idx="50">
                  <c:v>0.0001062730929844038</c:v>
                </c:pt>
                <c:pt idx="51">
                  <c:v>7.877845933067722E-05</c:v>
                </c:pt>
                <c:pt idx="52">
                  <c:v>6.066612418665755E-05</c:v>
                </c:pt>
                <c:pt idx="53">
                  <c:v>4.8292134487691496E-05</c:v>
                </c:pt>
                <c:pt idx="54">
                  <c:v>3.921397865690883E-05</c:v>
                </c:pt>
                <c:pt idx="55">
                  <c:v>1.7561619544314255E-05</c:v>
                </c:pt>
                <c:pt idx="56">
                  <c:v>9.842452777126276E-06</c:v>
                </c:pt>
                <c:pt idx="57">
                  <c:v>4.4294992608885E-06</c:v>
                </c:pt>
                <c:pt idx="58">
                  <c:v>2.486676459030135E-06</c:v>
                </c:pt>
                <c:pt idx="59">
                  <c:v>1.5894406045127384E-06</c:v>
                </c:pt>
                <c:pt idx="60">
                  <c:v>1.102795880650911E-06</c:v>
                </c:pt>
                <c:pt idx="61">
                  <c:v>8.096870526450875E-07</c:v>
                </c:pt>
                <c:pt idx="62">
                  <c:v>6.196059407715729E-07</c:v>
                </c:pt>
                <c:pt idx="63">
                  <c:v>4.911048797360608E-07</c:v>
                </c:pt>
                <c:pt idx="64">
                  <c:v>3.975265431622131E-07</c:v>
                </c:pt>
                <c:pt idx="65">
                  <c:v>1.7669216828497283E-07</c:v>
                </c:pt>
                <c:pt idx="66">
                  <c:v>9.876200612073931E-08</c:v>
                </c:pt>
                <c:pt idx="67">
                  <c:v>4.436327432583721E-08</c:v>
                </c:pt>
                <c:pt idx="68">
                  <c:v>2.488827626885856E-08</c:v>
                </c:pt>
                <c:pt idx="69">
                  <c:v>1.5903193249019437E-08</c:v>
                </c:pt>
                <c:pt idx="70">
                  <c:v>1.1032188534364239E-08</c:v>
                </c:pt>
                <c:pt idx="71">
                  <c:v>8.099150514059065E-09</c:v>
                </c:pt>
                <c:pt idx="72">
                  <c:v>6.197394507241441E-09</c:v>
                </c:pt>
                <c:pt idx="73">
                  <c:v>4.911887524018527E-09</c:v>
                </c:pt>
                <c:pt idx="74">
                  <c:v>3.9758149681067264E-09</c:v>
                </c:pt>
              </c:numCache>
            </c:numRef>
          </c:yVal>
          <c:smooth val="0"/>
        </c:ser>
        <c:ser>
          <c:idx val="1"/>
          <c:order val="1"/>
          <c:tx>
            <c:v>f1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f1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'My Site'!$A$98:$A$99</c:f>
              <c:numCache>
                <c:ptCount val="2"/>
                <c:pt idx="0">
                  <c:v>0.2746031518689721</c:v>
                </c:pt>
                <c:pt idx="1">
                  <c:v>0.2746031518689721</c:v>
                </c:pt>
              </c:numCache>
            </c:numRef>
          </c:xVal>
          <c:yVal>
            <c:numRef>
              <c:f>'My Site'!$D$98:$D$99</c:f>
              <c:numCache>
                <c:ptCount val="2"/>
                <c:pt idx="0">
                  <c:v>0.008778575240816325</c:v>
                </c:pt>
                <c:pt idx="1">
                  <c:v>8.778575240816325E-05</c:v>
                </c:pt>
              </c:numCache>
            </c:numRef>
          </c:yVal>
          <c:smooth val="0"/>
        </c:ser>
        <c:ser>
          <c:idx val="2"/>
          <c:order val="2"/>
          <c:tx>
            <c:v>f2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f2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'My Site'!$A$100:$A$101</c:f>
              <c:numCache>
                <c:ptCount val="2"/>
                <c:pt idx="0">
                  <c:v>1.6476189112138324</c:v>
                </c:pt>
                <c:pt idx="1">
                  <c:v>1.6476189112138324</c:v>
                </c:pt>
              </c:numCache>
            </c:numRef>
          </c:xVal>
          <c:yVal>
            <c:numRef>
              <c:f>'My Site'!$D$100:$D$101</c:f>
              <c:numCache>
                <c:ptCount val="2"/>
                <c:pt idx="0">
                  <c:v>0.00877857464317348</c:v>
                </c:pt>
                <c:pt idx="1">
                  <c:v>8.778574643173481E-05</c:v>
                </c:pt>
              </c:numCache>
            </c:numRef>
          </c:yVal>
          <c:smooth val="0"/>
        </c:ser>
        <c:ser>
          <c:idx val="3"/>
          <c:order val="3"/>
          <c:tx>
            <c:v>A1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PGD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'My Site'!$A$104:$A$105</c:f>
              <c:numCache>
                <c:ptCount val="2"/>
                <c:pt idx="0">
                  <c:v>0.06865078796724303</c:v>
                </c:pt>
                <c:pt idx="1">
                  <c:v>0.2746031518689721</c:v>
                </c:pt>
              </c:numCache>
            </c:numRef>
          </c:xVal>
          <c:yVal>
            <c:numRef>
              <c:f>'My Site'!$D$104:$D$105</c:f>
              <c:numCache>
                <c:ptCount val="2"/>
                <c:pt idx="0">
                  <c:v>0.008778575240816325</c:v>
                </c:pt>
                <c:pt idx="1">
                  <c:v>0.008778575240816325</c:v>
                </c:pt>
              </c:numCache>
            </c:numRef>
          </c:yVal>
          <c:smooth val="0"/>
        </c:ser>
        <c:ser>
          <c:idx val="4"/>
          <c:order val="4"/>
          <c:tx>
            <c:v>A2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'My Site'!$A$106:$A$107</c:f>
              <c:numCache>
                <c:ptCount val="2"/>
                <c:pt idx="0">
                  <c:v>0.2746031518689721</c:v>
                </c:pt>
                <c:pt idx="1">
                  <c:v>1.6476189112138324</c:v>
                </c:pt>
              </c:numCache>
            </c:numRef>
          </c:xVal>
          <c:yVal>
            <c:numRef>
              <c:f>'My Site'!$D$106:$D$107</c:f>
              <c:numCache>
                <c:ptCount val="2"/>
                <c:pt idx="0">
                  <c:v>0.008778575240816325</c:v>
                </c:pt>
                <c:pt idx="1">
                  <c:v>0.001463095873469388</c:v>
                </c:pt>
              </c:numCache>
            </c:numRef>
          </c:yVal>
          <c:smooth val="0"/>
        </c:ser>
        <c:ser>
          <c:idx val="5"/>
          <c:order val="5"/>
          <c:tx>
            <c:v>A3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Site'!$A$108:$A$109</c:f>
              <c:numCache>
                <c:ptCount val="2"/>
                <c:pt idx="0">
                  <c:v>1.6476189112138324</c:v>
                </c:pt>
                <c:pt idx="1">
                  <c:v>6.59047564485533</c:v>
                </c:pt>
              </c:numCache>
            </c:numRef>
          </c:xVal>
          <c:yVal>
            <c:numRef>
              <c:f>'My Site'!$D$108:$D$109</c:f>
              <c:numCache>
                <c:ptCount val="2"/>
                <c:pt idx="0">
                  <c:v>0.001463095873469388</c:v>
                </c:pt>
                <c:pt idx="1">
                  <c:v>9.144349209183673E-05</c:v>
                </c:pt>
              </c:numCache>
            </c:numRef>
          </c:yVal>
          <c:smooth val="0"/>
        </c:ser>
        <c:ser>
          <c:idx val="6"/>
          <c:order val="6"/>
          <c:tx>
            <c:v>abc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7"/>
          <c:order val="7"/>
          <c:tx>
            <c:v>B1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Site'!$A$110:$A$111</c:f>
              <c:numCache>
                <c:ptCount val="2"/>
                <c:pt idx="0">
                  <c:v>0.008488263631567752</c:v>
                </c:pt>
                <c:pt idx="1">
                  <c:v>0.42441318157838764</c:v>
                </c:pt>
              </c:numCache>
            </c:numRef>
          </c:xVal>
          <c:yVal>
            <c:numRef>
              <c:f>'My Site'!$D$110:$D$111</c:f>
              <c:numCache>
                <c:ptCount val="2"/>
                <c:pt idx="0">
                  <c:v>0.015</c:v>
                </c:pt>
                <c:pt idx="1">
                  <c:v>0.015</c:v>
                </c:pt>
              </c:numCache>
            </c:numRef>
          </c:yVal>
          <c:smooth val="0"/>
        </c:ser>
        <c:ser>
          <c:idx val="8"/>
          <c:order val="8"/>
          <c:tx>
            <c:v>B2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My Instrument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'My Site'!$A$112:$A$113</c:f>
              <c:numCache>
                <c:ptCount val="2"/>
                <c:pt idx="0">
                  <c:v>0.42441318157838764</c:v>
                </c:pt>
                <c:pt idx="1">
                  <c:v>1.5915494309189535</c:v>
                </c:pt>
              </c:numCache>
            </c:numRef>
          </c:xVal>
          <c:yVal>
            <c:numRef>
              <c:f>'My Site'!$D$112:$D$113</c:f>
              <c:numCache>
                <c:ptCount val="2"/>
                <c:pt idx="0">
                  <c:v>0.015</c:v>
                </c:pt>
                <c:pt idx="1">
                  <c:v>0.004</c:v>
                </c:pt>
              </c:numCache>
            </c:numRef>
          </c:yVal>
          <c:smooth val="0"/>
        </c:ser>
        <c:ser>
          <c:idx val="9"/>
          <c:order val="9"/>
          <c:tx>
            <c:v>B3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Site'!$A$114:$A$115</c:f>
              <c:numCache>
                <c:ptCount val="2"/>
                <c:pt idx="0">
                  <c:v>1.5915494309189535</c:v>
                </c:pt>
                <c:pt idx="1">
                  <c:v>79.57747154594767</c:v>
                </c:pt>
              </c:numCache>
            </c:numRef>
          </c:xVal>
          <c:yVal>
            <c:numRef>
              <c:f>'My Site'!$D$114:$D$115</c:f>
              <c:numCache>
                <c:ptCount val="2"/>
                <c:pt idx="0">
                  <c:v>0.004</c:v>
                </c:pt>
                <c:pt idx="1">
                  <c:v>1.6000000000000001E-06</c:v>
                </c:pt>
              </c:numCache>
            </c:numRef>
          </c:yVal>
          <c:smooth val="0"/>
        </c:ser>
        <c:axId val="5873728"/>
        <c:axId val="52863553"/>
      </c:scatterChart>
      <c:valAx>
        <c:axId val="587372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63553"/>
        <c:crossesAt val="1E-10"/>
        <c:crossBetween val="midCat"/>
        <c:dispUnits/>
      </c:valAx>
      <c:valAx>
        <c:axId val="52863553"/>
        <c:scaling>
          <c:logBase val="10"/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Ground Displacement - meters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873728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My Site
Ground Velocity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meters/sec</a:t>
            </a:r>
          </a:p>
        </c:rich>
      </c:tx>
      <c:layout>
        <c:manualLayout>
          <c:xMode val="factor"/>
          <c:yMode val="factor"/>
          <c:x val="-0.00325"/>
          <c:y val="-0.0095"/>
        </c:manualLayout>
      </c:layout>
      <c:spPr>
        <a:pattFill prst="pct5">
          <a:fgClr>
            <a:srgbClr val="FFFFFF"/>
          </a:fgClr>
          <a:bgClr>
            <a:srgbClr val="FFFFFF"/>
          </a:bgClr>
        </a:pattFill>
        <a:ln w="25400">
          <a:solidFill/>
        </a:ln>
      </c:spPr>
    </c:title>
    <c:plotArea>
      <c:layout>
        <c:manualLayout>
          <c:xMode val="edge"/>
          <c:yMode val="edge"/>
          <c:x val="0.05575"/>
          <c:y val="0.14175"/>
          <c:w val="0.861"/>
          <c:h val="0.8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'My Site'!$A$6:$B$6</c:f>
              <c:strCache>
                <c:ptCount val="1"/>
                <c:pt idx="0">
                  <c:v>PGA = 0.15680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Site'!$A$21:$A$95</c:f>
              <c:numCache>
                <c:ptCount val="75"/>
                <c:pt idx="0">
                  <c:v>0.0001</c:v>
                </c:pt>
                <c:pt idx="1">
                  <c:v>0.00015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'My Site'!$E$21:$E$95</c:f>
              <c:numCache>
                <c:ptCount val="75"/>
                <c:pt idx="0">
                  <c:v>5.512944875912945E-06</c:v>
                </c:pt>
                <c:pt idx="1">
                  <c:v>8.273610977027823E-06</c:v>
                </c:pt>
                <c:pt idx="2">
                  <c:v>1.1061001772093448E-05</c:v>
                </c:pt>
                <c:pt idx="3">
                  <c:v>1.650371138351876E-05</c:v>
                </c:pt>
                <c:pt idx="4">
                  <c:v>2.203419989135056E-05</c:v>
                </c:pt>
                <c:pt idx="5">
                  <c:v>2.7564679341309693E-05</c:v>
                </c:pt>
                <c:pt idx="6">
                  <c:v>3.3095147459939774E-05</c:v>
                </c:pt>
                <c:pt idx="7">
                  <c:v>3.862560197380695E-05</c:v>
                </c:pt>
                <c:pt idx="8">
                  <c:v>4.415604060950429E-05</c:v>
                </c:pt>
                <c:pt idx="9">
                  <c:v>4.959867679504362E-05</c:v>
                </c:pt>
                <c:pt idx="10">
                  <c:v>5.512907719627137E-05</c:v>
                </c:pt>
                <c:pt idx="11">
                  <c:v>8.26929120924054E-05</c:v>
                </c:pt>
                <c:pt idx="12">
                  <c:v>0.00011060701681817971</c:v>
                </c:pt>
                <c:pt idx="13">
                  <c:v>0.0001650271461916091</c:v>
                </c:pt>
                <c:pt idx="14">
                  <c:v>0.00022031827917972467</c:v>
                </c:pt>
                <c:pt idx="15">
                  <c:v>0.0002756003591466462</c:v>
                </c:pt>
                <c:pt idx="16">
                  <c:v>0.0003308711171760515</c:v>
                </c:pt>
                <c:pt idx="17">
                  <c:v>0.00038612828659453837</c:v>
                </c:pt>
                <c:pt idx="18">
                  <c:v>0.0004413696034193465</c:v>
                </c:pt>
                <c:pt idx="19">
                  <c:v>0.0004957164011619061</c:v>
                </c:pt>
                <c:pt idx="20">
                  <c:v>0.0005509195747992493</c:v>
                </c:pt>
                <c:pt idx="21">
                  <c:v>0.0006061001602276752</c:v>
                </c:pt>
                <c:pt idx="22">
                  <c:v>0.0006612559086017819</c:v>
                </c:pt>
                <c:pt idx="23">
                  <c:v>0.0007163845759756058</c:v>
                </c:pt>
                <c:pt idx="24">
                  <c:v>0.0007714839237398145</c:v>
                </c:pt>
                <c:pt idx="25">
                  <c:v>0.0008256778850192662</c:v>
                </c:pt>
                <c:pt idx="26">
                  <c:v>0.0011030811153434881</c:v>
                </c:pt>
                <c:pt idx="27">
                  <c:v>0.001640390971802151</c:v>
                </c:pt>
                <c:pt idx="28">
                  <c:v>0.0021798299387817766</c:v>
                </c:pt>
                <c:pt idx="29">
                  <c:v>0.002710682459247765</c:v>
                </c:pt>
                <c:pt idx="30">
                  <c:v>0.0032310982287481814</c:v>
                </c:pt>
                <c:pt idx="31">
                  <c:v>0.003739411321111743</c:v>
                </c:pt>
                <c:pt idx="32">
                  <c:v>0.004234159512220617</c:v>
                </c:pt>
                <c:pt idx="33">
                  <c:v>0.004706599406175273</c:v>
                </c:pt>
                <c:pt idx="34">
                  <c:v>0.0051709564816722</c:v>
                </c:pt>
                <c:pt idx="35">
                  <c:v>0.007228261360866542</c:v>
                </c:pt>
                <c:pt idx="36">
                  <c:v>0.008867231384089746</c:v>
                </c:pt>
                <c:pt idx="37">
                  <c:v>0.010979589454785105</c:v>
                </c:pt>
                <c:pt idx="38">
                  <c:v>0.012130374687211237</c:v>
                </c:pt>
                <c:pt idx="39">
                  <c:v>0.012702925687741357</c:v>
                </c:pt>
                <c:pt idx="40">
                  <c:v>0.012941143660320533</c:v>
                </c:pt>
                <c:pt idx="41">
                  <c:v>0.012977471329938376</c:v>
                </c:pt>
                <c:pt idx="42">
                  <c:v>0.012886370986057917</c:v>
                </c:pt>
                <c:pt idx="43">
                  <c:v>0.012715498025825053</c:v>
                </c:pt>
                <c:pt idx="44">
                  <c:v>0.012487191127664376</c:v>
                </c:pt>
                <c:pt idx="45">
                  <c:v>0.011019359996670478</c:v>
                </c:pt>
                <c:pt idx="46">
                  <c:v>0.009526388983391636</c:v>
                </c:pt>
                <c:pt idx="47">
                  <c:v>0.007275419671203182</c:v>
                </c:pt>
                <c:pt idx="48">
                  <c:v>0.005761500823283827</c:v>
                </c:pt>
                <c:pt idx="49">
                  <c:v>0.004735387211104199</c:v>
                </c:pt>
                <c:pt idx="50">
                  <c:v>0.004006495605512024</c:v>
                </c:pt>
                <c:pt idx="51">
                  <c:v>0.0034662522105497976</c:v>
                </c:pt>
                <c:pt idx="52">
                  <c:v>0.0030515060465888745</c:v>
                </c:pt>
                <c:pt idx="53">
                  <c:v>0.0027285055985545696</c:v>
                </c:pt>
                <c:pt idx="54">
                  <c:v>0.0024626378596538743</c:v>
                </c:pt>
                <c:pt idx="55">
                  <c:v>0.0016543045610744028</c:v>
                </c:pt>
                <c:pt idx="56">
                  <c:v>0.0012401490499179108</c:v>
                </c:pt>
                <c:pt idx="57">
                  <c:v>0.000832745861047038</c:v>
                </c:pt>
                <c:pt idx="58">
                  <c:v>0.0006241557912165639</c:v>
                </c:pt>
                <c:pt idx="59">
                  <c:v>0.0004990843498169998</c:v>
                </c:pt>
                <c:pt idx="60">
                  <c:v>0.00041575404700539345</c:v>
                </c:pt>
                <c:pt idx="61">
                  <c:v>0.0003562623031638385</c:v>
                </c:pt>
                <c:pt idx="62">
                  <c:v>0.0003116617882081012</c:v>
                </c:pt>
                <c:pt idx="63">
                  <c:v>0.00027747425705087434</c:v>
                </c:pt>
                <c:pt idx="64">
                  <c:v>0.00024964666910586985</c:v>
                </c:pt>
                <c:pt idx="65">
                  <c:v>0.0001664440225244444</c:v>
                </c:pt>
                <c:pt idx="66">
                  <c:v>0.00012444012771213153</c:v>
                </c:pt>
                <c:pt idx="67">
                  <c:v>8.340295573257396E-05</c:v>
                </c:pt>
                <c:pt idx="68">
                  <c:v>6.246957343483499E-05</c:v>
                </c:pt>
                <c:pt idx="69">
                  <c:v>4.993602680192103E-05</c:v>
                </c:pt>
                <c:pt idx="70">
                  <c:v>4.159135077455318E-05</c:v>
                </c:pt>
                <c:pt idx="71">
                  <c:v>3.563626226185988E-05</c:v>
                </c:pt>
                <c:pt idx="72">
                  <c:v>3.117289437142445E-05</c:v>
                </c:pt>
                <c:pt idx="73">
                  <c:v>2.7752164510704675E-05</c:v>
                </c:pt>
                <c:pt idx="74">
                  <c:v>2.4968117999710242E-05</c:v>
                </c:pt>
              </c:numCache>
            </c:numRef>
          </c:yVal>
          <c:smooth val="0"/>
        </c:ser>
        <c:ser>
          <c:idx val="1"/>
          <c:order val="1"/>
          <c:tx>
            <c:v>f1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f1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'My Site'!$A$98:$A$99</c:f>
              <c:numCache>
                <c:ptCount val="2"/>
                <c:pt idx="0">
                  <c:v>0.2746031518689721</c:v>
                </c:pt>
                <c:pt idx="1">
                  <c:v>0.2746031518689721</c:v>
                </c:pt>
              </c:numCache>
            </c:numRef>
          </c:xVal>
          <c:yVal>
            <c:numRef>
              <c:f>'My Site'!$E$98:$E$99</c:f>
              <c:numCache>
                <c:ptCount val="2"/>
                <c:pt idx="0">
                  <c:v>0.00302928</c:v>
                </c:pt>
                <c:pt idx="1">
                  <c:v>0.07573200000000001</c:v>
                </c:pt>
              </c:numCache>
            </c:numRef>
          </c:yVal>
          <c:smooth val="0"/>
        </c:ser>
        <c:ser>
          <c:idx val="2"/>
          <c:order val="2"/>
          <c:tx>
            <c:v>f2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f2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'My Site'!$A$100:$A$101</c:f>
              <c:numCache>
                <c:ptCount val="2"/>
                <c:pt idx="0">
                  <c:v>1.6476189112138324</c:v>
                </c:pt>
                <c:pt idx="1">
                  <c:v>1.6476189112138324</c:v>
                </c:pt>
              </c:numCache>
            </c:numRef>
          </c:xVal>
          <c:yVal>
            <c:numRef>
              <c:f>'My Site'!$E$100:$E$101</c:f>
              <c:numCache>
                <c:ptCount val="2"/>
                <c:pt idx="0">
                  <c:v>0.00302928</c:v>
                </c:pt>
                <c:pt idx="1">
                  <c:v>0.07573200000000001</c:v>
                </c:pt>
              </c:numCache>
            </c:numRef>
          </c:yVal>
          <c:smooth val="0"/>
        </c:ser>
        <c:ser>
          <c:idx val="3"/>
          <c:order val="3"/>
          <c:tx>
            <c:v>A2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PGV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'My Site'!$A$106:$A$107</c:f>
              <c:numCache>
                <c:ptCount val="2"/>
                <c:pt idx="0">
                  <c:v>0.2746031518689721</c:v>
                </c:pt>
                <c:pt idx="1">
                  <c:v>1.6476189112138324</c:v>
                </c:pt>
              </c:numCache>
            </c:numRef>
          </c:xVal>
          <c:yVal>
            <c:numRef>
              <c:f>'My Site'!$E$106:$E$107</c:f>
              <c:numCache>
                <c:ptCount val="2"/>
                <c:pt idx="0">
                  <c:v>0.0151464</c:v>
                </c:pt>
                <c:pt idx="1">
                  <c:v>0.0151464</c:v>
                </c:pt>
              </c:numCache>
            </c:numRef>
          </c:yVal>
          <c:smooth val="0"/>
        </c:ser>
        <c:ser>
          <c:idx val="4"/>
          <c:order val="4"/>
          <c:tx>
            <c:v>a1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Site'!$A$104:$A$105</c:f>
              <c:numCache>
                <c:ptCount val="2"/>
                <c:pt idx="0">
                  <c:v>0.06865078796724303</c:v>
                </c:pt>
                <c:pt idx="1">
                  <c:v>0.2746031518689721</c:v>
                </c:pt>
              </c:numCache>
            </c:numRef>
          </c:xVal>
          <c:yVal>
            <c:numRef>
              <c:f>'My Site'!$E$104:$E$105</c:f>
              <c:numCache>
                <c:ptCount val="2"/>
                <c:pt idx="0">
                  <c:v>0.0037866</c:v>
                </c:pt>
                <c:pt idx="1">
                  <c:v>0.0151464</c:v>
                </c:pt>
              </c:numCache>
            </c:numRef>
          </c:yVal>
          <c:smooth val="0"/>
        </c:ser>
        <c:ser>
          <c:idx val="5"/>
          <c:order val="5"/>
          <c:tx>
            <c:v>A3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Site'!$A$108:$A$109</c:f>
              <c:numCache>
                <c:ptCount val="2"/>
                <c:pt idx="0">
                  <c:v>1.6476189112138324</c:v>
                </c:pt>
                <c:pt idx="1">
                  <c:v>6.59047564485533</c:v>
                </c:pt>
              </c:numCache>
            </c:numRef>
          </c:xVal>
          <c:yVal>
            <c:numRef>
              <c:f>'My Site'!$E$108:$E$109</c:f>
              <c:numCache>
                <c:ptCount val="2"/>
                <c:pt idx="0">
                  <c:v>0.0151464</c:v>
                </c:pt>
                <c:pt idx="1">
                  <c:v>0.0037866</c:v>
                </c:pt>
              </c:numCache>
            </c:numRef>
          </c:yVal>
          <c:smooth val="0"/>
        </c:ser>
        <c:ser>
          <c:idx val="6"/>
          <c:order val="6"/>
          <c:tx>
            <c:v>B1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Site'!$A$110:$A$111</c:f>
              <c:numCache>
                <c:ptCount val="2"/>
                <c:pt idx="0">
                  <c:v>0.008488263631567752</c:v>
                </c:pt>
                <c:pt idx="1">
                  <c:v>0.42441318157838764</c:v>
                </c:pt>
              </c:numCache>
            </c:numRef>
          </c:xVal>
          <c:yVal>
            <c:numRef>
              <c:f>'My Site'!$E$110:$E$111</c:f>
              <c:numCache>
                <c:ptCount val="2"/>
                <c:pt idx="0">
                  <c:v>0.0007999999999999999</c:v>
                </c:pt>
                <c:pt idx="1">
                  <c:v>0.04</c:v>
                </c:pt>
              </c:numCache>
            </c:numRef>
          </c:yVal>
          <c:smooth val="0"/>
        </c:ser>
        <c:ser>
          <c:idx val="7"/>
          <c:order val="7"/>
          <c:tx>
            <c:v>B2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Site'!$A$112:$A$113</c:f>
              <c:numCache>
                <c:ptCount val="2"/>
                <c:pt idx="0">
                  <c:v>0.42441318157838764</c:v>
                </c:pt>
                <c:pt idx="1">
                  <c:v>1.5915494309189535</c:v>
                </c:pt>
              </c:numCache>
            </c:numRef>
          </c:xVal>
          <c:yVal>
            <c:numRef>
              <c:f>'My Site'!$E$112:$E$113</c:f>
              <c:numCach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</c:ser>
        <c:ser>
          <c:idx val="8"/>
          <c:order val="8"/>
          <c:tx>
            <c:v>B3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My Instrument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'My Site'!$A$114:$A$115</c:f>
              <c:numCache>
                <c:ptCount val="2"/>
                <c:pt idx="0">
                  <c:v>1.5915494309189535</c:v>
                </c:pt>
                <c:pt idx="1">
                  <c:v>79.57747154594767</c:v>
                </c:pt>
              </c:numCache>
            </c:numRef>
          </c:xVal>
          <c:yVal>
            <c:numRef>
              <c:f>'My Site'!$E$114:$E$115</c:f>
              <c:numCache>
                <c:ptCount val="2"/>
                <c:pt idx="0">
                  <c:v>0.04</c:v>
                </c:pt>
                <c:pt idx="1">
                  <c:v>0.0007999999999999999</c:v>
                </c:pt>
              </c:numCache>
            </c:numRef>
          </c:yVal>
          <c:smooth val="0"/>
        </c:ser>
        <c:axId val="6009930"/>
        <c:axId val="54089371"/>
      </c:scatterChart>
      <c:valAx>
        <c:axId val="600993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89371"/>
        <c:crossesAt val="1E-06"/>
        <c:crossBetween val="midCat"/>
        <c:dispUnits/>
      </c:valAx>
      <c:valAx>
        <c:axId val="54089371"/>
        <c:scaling>
          <c:logBase val="10"/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Ground Velocity = m/s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009930"/>
        <c:crossesAt val="0.0001"/>
        <c:crossBetween val="midCat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My Site
Ground Acceleration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meters/sec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0.0345"/>
          <c:y val="-0.013"/>
        </c:manualLayout>
      </c:layout>
      <c:spPr>
        <a:pattFill prst="pct5">
          <a:fgClr>
            <a:srgbClr val="FFFFFF"/>
          </a:fgClr>
          <a:bgClr>
            <a:srgbClr val="FFFFFF"/>
          </a:bgClr>
        </a:pattFill>
        <a:ln w="25400">
          <a:solidFill/>
        </a:ln>
      </c:spPr>
    </c:title>
    <c:plotArea>
      <c:layout>
        <c:manualLayout>
          <c:xMode val="edge"/>
          <c:yMode val="edge"/>
          <c:x val="0.07375"/>
          <c:y val="0.11225"/>
          <c:w val="0.874"/>
          <c:h val="0.84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'My Site'!$A$6:$B$6</c:f>
              <c:strCache>
                <c:ptCount val="1"/>
                <c:pt idx="0">
                  <c:v>PGA = 0.15680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Site'!$A$21:$A$95</c:f>
              <c:numCache>
                <c:ptCount val="75"/>
                <c:pt idx="0">
                  <c:v>0.0001</c:v>
                </c:pt>
                <c:pt idx="1">
                  <c:v>0.00015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'My Site'!$F$21:$F$95</c:f>
              <c:numCache>
                <c:ptCount val="75"/>
                <c:pt idx="0">
                  <c:v>3.4621293820733295E-09</c:v>
                </c:pt>
                <c:pt idx="1">
                  <c:v>7.797694639227143E-09</c:v>
                </c:pt>
                <c:pt idx="2">
                  <c:v>1.3936862232837745E-08</c:v>
                </c:pt>
                <c:pt idx="3">
                  <c:v>3.102697740101527E-08</c:v>
                </c:pt>
                <c:pt idx="4">
                  <c:v>5.53058417272899E-08</c:v>
                </c:pt>
                <c:pt idx="5">
                  <c:v>8.655309313171243E-08</c:v>
                </c:pt>
                <c:pt idx="6">
                  <c:v>1.2476870592397296E-07</c:v>
                </c:pt>
                <c:pt idx="7">
                  <c:v>1.699526486847506E-07</c:v>
                </c:pt>
                <c:pt idx="8">
                  <c:v>2.2210488426580655E-07</c:v>
                </c:pt>
                <c:pt idx="9">
                  <c:v>2.8023252389199643E-07</c:v>
                </c:pt>
                <c:pt idx="10">
                  <c:v>3.462106047925842E-07</c:v>
                </c:pt>
                <c:pt idx="11">
                  <c:v>7.789672319104589E-07</c:v>
                </c:pt>
                <c:pt idx="12">
                  <c:v>1.3936484119090644E-06</c:v>
                </c:pt>
                <c:pt idx="13">
                  <c:v>3.102510348402251E-06</c:v>
                </c:pt>
                <c:pt idx="14">
                  <c:v>5.529988807411089E-06</c:v>
                </c:pt>
                <c:pt idx="15">
                  <c:v>8.653851277204691E-06</c:v>
                </c:pt>
                <c:pt idx="16">
                  <c:v>1.247384111753714E-05</c:v>
                </c:pt>
                <c:pt idx="17">
                  <c:v>1.6989644610159687E-05</c:v>
                </c:pt>
                <c:pt idx="18">
                  <c:v>2.2200891051993127E-05</c:v>
                </c:pt>
                <c:pt idx="19">
                  <c:v>2.8007976665647697E-05</c:v>
                </c:pt>
                <c:pt idx="20">
                  <c:v>3.459774929739285E-05</c:v>
                </c:pt>
                <c:pt idx="21">
                  <c:v>4.1881521071732353E-05</c:v>
                </c:pt>
                <c:pt idx="22">
                  <c:v>4.9858695508574354E-05</c:v>
                </c:pt>
                <c:pt idx="23">
                  <c:v>5.852861985720699E-05</c:v>
                </c:pt>
                <c:pt idx="24">
                  <c:v>6.789058528910367E-05</c:v>
                </c:pt>
                <c:pt idx="25">
                  <c:v>7.777885676881488E-05</c:v>
                </c:pt>
                <c:pt idx="26">
                  <c:v>0.0001389882205332795</c:v>
                </c:pt>
                <c:pt idx="27">
                  <c:v>0.00030839350269880436</c:v>
                </c:pt>
                <c:pt idx="28">
                  <c:v>0.000547137314634226</c:v>
                </c:pt>
                <c:pt idx="29">
                  <c:v>0.0008511542922037983</c:v>
                </c:pt>
                <c:pt idx="30">
                  <c:v>0.0012181240322380643</c:v>
                </c:pt>
                <c:pt idx="31">
                  <c:v>0.0016453409812891668</c:v>
                </c:pt>
                <c:pt idx="32">
                  <c:v>0.0021297822346469705</c:v>
                </c:pt>
                <c:pt idx="33">
                  <c:v>0.002659228664489029</c:v>
                </c:pt>
                <c:pt idx="34">
                  <c:v>0.003247360670490142</c:v>
                </c:pt>
                <c:pt idx="35">
                  <c:v>0.0068090222019362824</c:v>
                </c:pt>
                <c:pt idx="36">
                  <c:v>0.01117271154395308</c:v>
                </c:pt>
                <c:pt idx="37">
                  <c:v>0.020641628174995996</c:v>
                </c:pt>
                <c:pt idx="38">
                  <c:v>0.030447240464900202</c:v>
                </c:pt>
                <c:pt idx="39">
                  <c:v>0.03988718665950786</c:v>
                </c:pt>
                <c:pt idx="40">
                  <c:v>0.04878811159940841</c:v>
                </c:pt>
                <c:pt idx="41">
                  <c:v>0.05710087385172886</c:v>
                </c:pt>
                <c:pt idx="42">
                  <c:v>0.06481844605987133</c:v>
                </c:pt>
                <c:pt idx="43">
                  <c:v>0.07184256384591155</c:v>
                </c:pt>
                <c:pt idx="44">
                  <c:v>0.07841956028173228</c:v>
                </c:pt>
                <c:pt idx="45">
                  <c:v>0.1038023711686359</c:v>
                </c:pt>
                <c:pt idx="46">
                  <c:v>0.12003250119073461</c:v>
                </c:pt>
                <c:pt idx="47">
                  <c:v>0.13677788981861982</c:v>
                </c:pt>
                <c:pt idx="48">
                  <c:v>0.14461367066442407</c:v>
                </c:pt>
                <c:pt idx="49">
                  <c:v>0.14869115842867184</c:v>
                </c:pt>
                <c:pt idx="50">
                  <c:v>0.1510448843278033</c:v>
                </c:pt>
                <c:pt idx="51">
                  <c:v>0.1525150972641911</c:v>
                </c:pt>
                <c:pt idx="52">
                  <c:v>0.15349075414342037</c:v>
                </c:pt>
                <c:pt idx="53">
                  <c:v>0.1541605663183332</c:v>
                </c:pt>
                <c:pt idx="54">
                  <c:v>0.1546536575862633</c:v>
                </c:pt>
                <c:pt idx="55">
                  <c:v>0.15583548965320873</c:v>
                </c:pt>
                <c:pt idx="56">
                  <c:v>0.15625878028965676</c:v>
                </c:pt>
                <c:pt idx="57">
                  <c:v>0.15655622187684315</c:v>
                </c:pt>
                <c:pt idx="58">
                  <c:v>0.15666310359535754</c:v>
                </c:pt>
                <c:pt idx="59">
                  <c:v>0.15671248584253794</c:v>
                </c:pt>
                <c:pt idx="60">
                  <c:v>0.15673927572103333</c:v>
                </c:pt>
                <c:pt idx="61">
                  <c:v>0.15675541339208893</c:v>
                </c:pt>
                <c:pt idx="62">
                  <c:v>0.1567658794686749</c:v>
                </c:pt>
                <c:pt idx="63">
                  <c:v>0.15677295523374402</c:v>
                </c:pt>
                <c:pt idx="64">
                  <c:v>0.15677810819848625</c:v>
                </c:pt>
                <c:pt idx="65">
                  <c:v>0.15679026921802663</c:v>
                </c:pt>
                <c:pt idx="66">
                  <c:v>0.15679456091728572</c:v>
                </c:pt>
                <c:pt idx="67">
                  <c:v>0.15679755677723906</c:v>
                </c:pt>
                <c:pt idx="68">
                  <c:v>0.15679862932143582</c:v>
                </c:pt>
                <c:pt idx="69">
                  <c:v>0.15679912415803204</c:v>
                </c:pt>
                <c:pt idx="70">
                  <c:v>0.1567993924200655</c:v>
                </c:pt>
                <c:pt idx="71">
                  <c:v>0.15679955395218348</c:v>
                </c:pt>
                <c:pt idx="72">
                  <c:v>0.15679965868826495</c:v>
                </c:pt>
                <c:pt idx="73">
                  <c:v>0.1567997294854814</c:v>
                </c:pt>
                <c:pt idx="74">
                  <c:v>0.15679978103818032</c:v>
                </c:pt>
              </c:numCache>
            </c:numRef>
          </c:yVal>
          <c:smooth val="0"/>
        </c:ser>
        <c:ser>
          <c:idx val="1"/>
          <c:order val="1"/>
          <c:tx>
            <c:v>f1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f1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'My Site'!$A$98:$A$99</c:f>
              <c:numCache>
                <c:ptCount val="2"/>
                <c:pt idx="0">
                  <c:v>0.2746031518689721</c:v>
                </c:pt>
                <c:pt idx="1">
                  <c:v>0.2746031518689721</c:v>
                </c:pt>
              </c:numCache>
            </c:numRef>
          </c:xVal>
          <c:yVal>
            <c:numRef>
              <c:f>'My Site'!$F$98:$F$99</c:f>
              <c:numCache>
                <c:ptCount val="2"/>
                <c:pt idx="0">
                  <c:v>0.15679978103818032</c:v>
                </c:pt>
                <c:pt idx="1">
                  <c:v>0.005226666666666668</c:v>
                </c:pt>
              </c:numCache>
            </c:numRef>
          </c:yVal>
          <c:smooth val="0"/>
        </c:ser>
        <c:ser>
          <c:idx val="2"/>
          <c:order val="2"/>
          <c:tx>
            <c:v>f2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f2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'My Site'!$A$100:$A$101</c:f>
              <c:numCache>
                <c:ptCount val="2"/>
                <c:pt idx="0">
                  <c:v>1.6476189112138324</c:v>
                </c:pt>
                <c:pt idx="1">
                  <c:v>1.6476189112138324</c:v>
                </c:pt>
              </c:numCache>
            </c:numRef>
          </c:xVal>
          <c:yVal>
            <c:numRef>
              <c:f>'My Site'!$F$100:$F$101</c:f>
              <c:numCache>
                <c:ptCount val="2"/>
                <c:pt idx="0">
                  <c:v>0.7840000000000001</c:v>
                </c:pt>
                <c:pt idx="1">
                  <c:v>0.031360000000000006</c:v>
                </c:pt>
              </c:numCache>
            </c:numRef>
          </c:yVal>
          <c:smooth val="0"/>
        </c:ser>
        <c:ser>
          <c:idx val="3"/>
          <c:order val="3"/>
          <c:tx>
            <c:v>A3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PGA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'My Site'!$A$108:$A$109</c:f>
              <c:numCache>
                <c:ptCount val="2"/>
                <c:pt idx="0">
                  <c:v>1.6476189112138324</c:v>
                </c:pt>
                <c:pt idx="1">
                  <c:v>6.59047564485533</c:v>
                </c:pt>
              </c:numCache>
            </c:numRef>
          </c:xVal>
          <c:yVal>
            <c:numRef>
              <c:f>'My Site'!$F$108:$F$109</c:f>
              <c:numCache>
                <c:ptCount val="2"/>
                <c:pt idx="0">
                  <c:v>0.15680000000000002</c:v>
                </c:pt>
                <c:pt idx="1">
                  <c:v>0.15680000000000002</c:v>
                </c:pt>
              </c:numCache>
            </c:numRef>
          </c:yVal>
          <c:smooth val="0"/>
        </c:ser>
        <c:ser>
          <c:idx val="4"/>
          <c:order val="4"/>
          <c:tx>
            <c:v>A2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'My Site'!$A$106:$A$107</c:f>
              <c:numCache>
                <c:ptCount val="2"/>
                <c:pt idx="0">
                  <c:v>0.2746031518689721</c:v>
                </c:pt>
                <c:pt idx="1">
                  <c:v>1.6476189112138324</c:v>
                </c:pt>
              </c:numCache>
            </c:numRef>
          </c:xVal>
          <c:yVal>
            <c:numRef>
              <c:f>'My Site'!$F$106:$F$107</c:f>
              <c:numCache>
                <c:ptCount val="2"/>
                <c:pt idx="0">
                  <c:v>0.02613333333333334</c:v>
                </c:pt>
                <c:pt idx="1">
                  <c:v>0.15680000000000002</c:v>
                </c:pt>
              </c:numCache>
            </c:numRef>
          </c:yVal>
          <c:smooth val="0"/>
        </c:ser>
        <c:ser>
          <c:idx val="5"/>
          <c:order val="5"/>
          <c:tx>
            <c:v>A1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Site'!$A$104:$A$105</c:f>
              <c:numCache>
                <c:ptCount val="2"/>
                <c:pt idx="0">
                  <c:v>0.06865078796724303</c:v>
                </c:pt>
                <c:pt idx="1">
                  <c:v>0.2746031518689721</c:v>
                </c:pt>
              </c:numCache>
            </c:numRef>
          </c:xVal>
          <c:yVal>
            <c:numRef>
              <c:f>'My Site'!$F$104:$F$105</c:f>
              <c:numCache>
                <c:ptCount val="2"/>
                <c:pt idx="0">
                  <c:v>0.0016333333333333336</c:v>
                </c:pt>
                <c:pt idx="1">
                  <c:v>0.02613333333333334</c:v>
                </c:pt>
              </c:numCache>
            </c:numRef>
          </c:yVal>
          <c:smooth val="0"/>
        </c:ser>
        <c:ser>
          <c:idx val="6"/>
          <c:order val="6"/>
          <c:tx>
            <c:v>B1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Site'!$A$110:$A$111</c:f>
              <c:numCache>
                <c:ptCount val="2"/>
                <c:pt idx="0">
                  <c:v>0.008488263631567752</c:v>
                </c:pt>
                <c:pt idx="1">
                  <c:v>0.42441318157838764</c:v>
                </c:pt>
              </c:numCache>
            </c:numRef>
          </c:xVal>
          <c:yVal>
            <c:numRef>
              <c:f>'My Site'!$F$110:$F$111</c:f>
              <c:numCache>
                <c:ptCount val="2"/>
                <c:pt idx="0">
                  <c:v>4.2666666666666676E-05</c:v>
                </c:pt>
                <c:pt idx="1">
                  <c:v>0.10666666666666669</c:v>
                </c:pt>
              </c:numCache>
            </c:numRef>
          </c:yVal>
          <c:smooth val="0"/>
        </c:ser>
        <c:ser>
          <c:idx val="7"/>
          <c:order val="7"/>
          <c:tx>
            <c:v>B2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'My Site'!$A$112:$A$113</c:f>
              <c:numCache>
                <c:ptCount val="2"/>
                <c:pt idx="0">
                  <c:v>0.42441318157838764</c:v>
                </c:pt>
                <c:pt idx="1">
                  <c:v>1.5915494309189535</c:v>
                </c:pt>
              </c:numCache>
            </c:numRef>
          </c:xVal>
          <c:yVal>
            <c:numRef>
              <c:f>'My Site'!$F$112:$F$113</c:f>
              <c:numCache>
                <c:ptCount val="2"/>
                <c:pt idx="0">
                  <c:v>0.10666666666666669</c:v>
                </c:pt>
                <c:pt idx="1">
                  <c:v>0.4</c:v>
                </c:pt>
              </c:numCache>
            </c:numRef>
          </c:yVal>
          <c:smooth val="0"/>
        </c:ser>
        <c:ser>
          <c:idx val="8"/>
          <c:order val="8"/>
          <c:tx>
            <c:v>B3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My Instrument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'My Site'!$A$114:$A$115</c:f>
              <c:numCache>
                <c:ptCount val="2"/>
                <c:pt idx="0">
                  <c:v>1.5915494309189535</c:v>
                </c:pt>
                <c:pt idx="1">
                  <c:v>79.57747154594767</c:v>
                </c:pt>
              </c:numCache>
            </c:numRef>
          </c:xVal>
          <c:yVal>
            <c:numRef>
              <c:f>'My Site'!$F$114:$F$115</c:f>
              <c:numCach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0"/>
        </c:ser>
        <c:axId val="17042292"/>
        <c:axId val="19162901"/>
      </c:scatterChart>
      <c:valAx>
        <c:axId val="1704229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62901"/>
        <c:crossesAt val="1E-10"/>
        <c:crossBetween val="midCat"/>
        <c:dispUnits/>
      </c:valAx>
      <c:valAx>
        <c:axId val="1916290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Ground Acceleration - m/s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7042292"/>
        <c:crossesAt val="0.0001"/>
        <c:crossBetween val="midCat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L4" sqref="L4"/>
    </sheetView>
  </sheetViews>
  <sheetFormatPr defaultColWidth="9.140625" defaultRowHeight="12.75"/>
  <sheetData>
    <row r="1" spans="1:11" ht="12.7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12.75">
      <c r="A2" s="132"/>
      <c r="B2" s="115"/>
      <c r="C2" s="115"/>
      <c r="D2" s="115"/>
      <c r="E2" s="115"/>
      <c r="F2" s="115"/>
      <c r="G2" s="115"/>
      <c r="H2" s="115"/>
      <c r="I2" s="115"/>
      <c r="J2" s="115"/>
      <c r="K2" s="133"/>
    </row>
    <row r="3" spans="1:11" ht="12.75">
      <c r="A3" s="132"/>
      <c r="B3" s="115"/>
      <c r="C3" s="115"/>
      <c r="D3" s="115"/>
      <c r="E3" s="115"/>
      <c r="F3" s="115"/>
      <c r="G3" s="115"/>
      <c r="H3" s="115"/>
      <c r="I3" s="115"/>
      <c r="J3" s="115"/>
      <c r="K3" s="133"/>
    </row>
    <row r="4" spans="1:11" ht="12.75">
      <c r="A4" s="132"/>
      <c r="B4" s="115"/>
      <c r="C4" s="115"/>
      <c r="D4" s="115"/>
      <c r="E4" s="115"/>
      <c r="F4" s="115"/>
      <c r="G4" s="115"/>
      <c r="H4" s="115"/>
      <c r="I4" s="115"/>
      <c r="J4" s="115"/>
      <c r="K4" s="133"/>
    </row>
    <row r="5" spans="1:11" ht="12.75">
      <c r="A5" s="132"/>
      <c r="B5" s="115"/>
      <c r="C5" s="115"/>
      <c r="D5" s="115"/>
      <c r="E5" s="115"/>
      <c r="F5" s="115"/>
      <c r="G5" s="115"/>
      <c r="H5" s="115"/>
      <c r="I5" s="115"/>
      <c r="J5" s="115"/>
      <c r="K5" s="133"/>
    </row>
    <row r="6" spans="1:11" ht="12.75">
      <c r="A6" s="132"/>
      <c r="B6" s="115"/>
      <c r="C6" s="115"/>
      <c r="D6" s="115"/>
      <c r="E6" s="115"/>
      <c r="F6" s="115"/>
      <c r="G6" s="115"/>
      <c r="H6" s="115"/>
      <c r="I6" s="115"/>
      <c r="J6" s="115"/>
      <c r="K6" s="133"/>
    </row>
    <row r="7" spans="1:11" ht="12.75">
      <c r="A7" s="132"/>
      <c r="B7" s="115"/>
      <c r="C7" s="115"/>
      <c r="D7" s="115"/>
      <c r="E7" s="115"/>
      <c r="F7" s="115"/>
      <c r="G7" s="115"/>
      <c r="H7" s="115"/>
      <c r="I7" s="115"/>
      <c r="J7" s="115"/>
      <c r="K7" s="133"/>
    </row>
    <row r="8" spans="1:11" ht="12.75">
      <c r="A8" s="132"/>
      <c r="B8" s="115"/>
      <c r="C8" s="115"/>
      <c r="D8" s="115"/>
      <c r="E8" s="115"/>
      <c r="F8" s="115"/>
      <c r="G8" s="115"/>
      <c r="H8" s="115"/>
      <c r="I8" s="115"/>
      <c r="J8" s="115"/>
      <c r="K8" s="133"/>
    </row>
    <row r="9" spans="1:11" ht="12.75">
      <c r="A9" s="132"/>
      <c r="B9" s="115"/>
      <c r="C9" s="115"/>
      <c r="D9" s="115"/>
      <c r="E9" s="115"/>
      <c r="F9" s="115"/>
      <c r="G9" s="115"/>
      <c r="H9" s="115"/>
      <c r="I9" s="115"/>
      <c r="J9" s="115"/>
      <c r="K9" s="133"/>
    </row>
    <row r="10" spans="1:11" ht="12.75">
      <c r="A10" s="132"/>
      <c r="B10" s="115"/>
      <c r="C10" s="115"/>
      <c r="D10" s="115"/>
      <c r="E10" s="115"/>
      <c r="F10" s="115"/>
      <c r="G10" s="115"/>
      <c r="H10" s="115"/>
      <c r="I10" s="115"/>
      <c r="J10" s="115"/>
      <c r="K10" s="133"/>
    </row>
    <row r="11" spans="1:11" ht="12.75">
      <c r="A11" s="132"/>
      <c r="B11" s="115"/>
      <c r="C11" s="115"/>
      <c r="D11" s="115"/>
      <c r="E11" s="115"/>
      <c r="F11" s="115"/>
      <c r="G11" s="115"/>
      <c r="H11" s="115"/>
      <c r="I11" s="115"/>
      <c r="J11" s="115"/>
      <c r="K11" s="133"/>
    </row>
    <row r="12" spans="1:11" ht="12.75">
      <c r="A12" s="132"/>
      <c r="B12" s="115"/>
      <c r="C12" s="115"/>
      <c r="D12" s="115"/>
      <c r="E12" s="115"/>
      <c r="F12" s="115"/>
      <c r="G12" s="115"/>
      <c r="H12" s="115"/>
      <c r="I12" s="115"/>
      <c r="J12" s="115"/>
      <c r="K12" s="133"/>
    </row>
    <row r="13" spans="1:11" ht="12.75">
      <c r="A13" s="132"/>
      <c r="B13" s="115"/>
      <c r="C13" s="115"/>
      <c r="D13" s="115"/>
      <c r="E13" s="115"/>
      <c r="F13" s="115"/>
      <c r="G13" s="115"/>
      <c r="H13" s="115"/>
      <c r="I13" s="115"/>
      <c r="J13" s="115"/>
      <c r="K13" s="133"/>
    </row>
    <row r="14" spans="1:11" ht="12.75">
      <c r="A14" s="132"/>
      <c r="B14" s="115"/>
      <c r="C14" s="115"/>
      <c r="D14" s="115"/>
      <c r="E14" s="115"/>
      <c r="F14" s="115"/>
      <c r="G14" s="115"/>
      <c r="H14" s="115"/>
      <c r="I14" s="115"/>
      <c r="J14" s="115"/>
      <c r="K14" s="133"/>
    </row>
    <row r="15" spans="1:11" ht="12.75">
      <c r="A15" s="132"/>
      <c r="B15" s="115"/>
      <c r="C15" s="115"/>
      <c r="D15" s="115"/>
      <c r="E15" s="115"/>
      <c r="F15" s="115"/>
      <c r="G15" s="115"/>
      <c r="H15" s="115"/>
      <c r="I15" s="115"/>
      <c r="J15" s="115"/>
      <c r="K15" s="133"/>
    </row>
    <row r="16" spans="1:11" ht="12.75">
      <c r="A16" s="132"/>
      <c r="B16" s="115"/>
      <c r="C16" s="115"/>
      <c r="D16" s="115"/>
      <c r="E16" s="115"/>
      <c r="F16" s="115"/>
      <c r="G16" s="115"/>
      <c r="H16" s="115"/>
      <c r="I16" s="115"/>
      <c r="J16" s="115"/>
      <c r="K16" s="133"/>
    </row>
    <row r="17" spans="1:11" ht="12.75">
      <c r="A17" s="132"/>
      <c r="B17" s="115"/>
      <c r="C17" s="115"/>
      <c r="D17" s="115"/>
      <c r="E17" s="115"/>
      <c r="F17" s="115"/>
      <c r="G17" s="115"/>
      <c r="H17" s="115"/>
      <c r="I17" s="115"/>
      <c r="J17" s="115"/>
      <c r="K17" s="133"/>
    </row>
    <row r="18" spans="1:11" ht="12.75">
      <c r="A18" s="132"/>
      <c r="B18" s="115"/>
      <c r="C18" s="115"/>
      <c r="D18" s="115"/>
      <c r="E18" s="115"/>
      <c r="F18" s="115"/>
      <c r="G18" s="115"/>
      <c r="H18" s="115"/>
      <c r="I18" s="115"/>
      <c r="J18" s="115"/>
      <c r="K18" s="133"/>
    </row>
    <row r="19" spans="1:11" ht="12.75">
      <c r="A19" s="132"/>
      <c r="B19" s="115"/>
      <c r="C19" s="115"/>
      <c r="D19" s="115"/>
      <c r="E19" s="115"/>
      <c r="F19" s="115"/>
      <c r="G19" s="115"/>
      <c r="H19" s="115"/>
      <c r="I19" s="115"/>
      <c r="J19" s="115"/>
      <c r="K19" s="133"/>
    </row>
    <row r="20" spans="1:11" ht="12.75">
      <c r="A20" s="132"/>
      <c r="B20" s="115"/>
      <c r="C20" s="115"/>
      <c r="D20" s="115"/>
      <c r="E20" s="115"/>
      <c r="F20" s="115"/>
      <c r="G20" s="115"/>
      <c r="H20" s="115"/>
      <c r="I20" s="115"/>
      <c r="J20" s="115"/>
      <c r="K20" s="133"/>
    </row>
    <row r="21" spans="1:11" ht="12.75">
      <c r="A21" s="132"/>
      <c r="B21" s="115"/>
      <c r="C21" s="115"/>
      <c r="D21" s="115"/>
      <c r="E21" s="115"/>
      <c r="F21" s="115"/>
      <c r="G21" s="115"/>
      <c r="H21" s="115"/>
      <c r="I21" s="115"/>
      <c r="J21" s="115"/>
      <c r="K21" s="133"/>
    </row>
    <row r="22" spans="1:11" ht="12.75">
      <c r="A22" s="132"/>
      <c r="B22" s="115"/>
      <c r="C22" s="115"/>
      <c r="D22" s="115"/>
      <c r="E22" s="115"/>
      <c r="F22" s="115"/>
      <c r="G22" s="115"/>
      <c r="H22" s="115"/>
      <c r="I22" s="115"/>
      <c r="J22" s="115"/>
      <c r="K22" s="133"/>
    </row>
    <row r="23" spans="1:11" ht="12.75">
      <c r="A23" s="132"/>
      <c r="B23" s="115"/>
      <c r="C23" s="115"/>
      <c r="D23" s="115"/>
      <c r="E23" s="115"/>
      <c r="F23" s="115"/>
      <c r="G23" s="115"/>
      <c r="H23" s="115"/>
      <c r="I23" s="115"/>
      <c r="J23" s="115"/>
      <c r="K23" s="133"/>
    </row>
    <row r="24" spans="1:11" ht="12.75">
      <c r="A24" s="132"/>
      <c r="B24" s="115"/>
      <c r="C24" s="115"/>
      <c r="D24" s="115"/>
      <c r="E24" s="115"/>
      <c r="F24" s="115"/>
      <c r="G24" s="115"/>
      <c r="H24" s="115"/>
      <c r="I24" s="115"/>
      <c r="J24" s="115"/>
      <c r="K24" s="133"/>
    </row>
    <row r="25" spans="1:11" ht="12.75">
      <c r="A25" s="132"/>
      <c r="B25" s="115"/>
      <c r="C25" s="115"/>
      <c r="D25" s="115"/>
      <c r="E25" s="115"/>
      <c r="F25" s="115"/>
      <c r="G25" s="115"/>
      <c r="H25" s="115"/>
      <c r="I25" s="115"/>
      <c r="J25" s="115"/>
      <c r="K25" s="133"/>
    </row>
    <row r="26" spans="1:11" ht="12.75">
      <c r="A26" s="132"/>
      <c r="B26" s="115"/>
      <c r="C26" s="115"/>
      <c r="D26" s="115"/>
      <c r="E26" s="115"/>
      <c r="F26" s="115"/>
      <c r="G26" s="115"/>
      <c r="H26" s="115"/>
      <c r="I26" s="115"/>
      <c r="J26" s="115"/>
      <c r="K26" s="133"/>
    </row>
    <row r="27" spans="1:11" ht="12.75">
      <c r="A27" s="132"/>
      <c r="B27" s="115"/>
      <c r="C27" s="115"/>
      <c r="D27" s="115"/>
      <c r="E27" s="115"/>
      <c r="F27" s="115"/>
      <c r="G27" s="115"/>
      <c r="H27" s="115"/>
      <c r="I27" s="115"/>
      <c r="J27" s="115"/>
      <c r="K27" s="133"/>
    </row>
    <row r="28" spans="1:11" ht="12.75">
      <c r="A28" s="132"/>
      <c r="B28" s="115"/>
      <c r="C28" s="115"/>
      <c r="D28" s="115"/>
      <c r="E28" s="115"/>
      <c r="F28" s="115"/>
      <c r="G28" s="115"/>
      <c r="H28" s="115"/>
      <c r="I28" s="115"/>
      <c r="J28" s="115"/>
      <c r="K28" s="133"/>
    </row>
    <row r="29" spans="1:11" ht="12.75">
      <c r="A29" s="132"/>
      <c r="B29" s="115"/>
      <c r="C29" s="115"/>
      <c r="D29" s="115"/>
      <c r="E29" s="115"/>
      <c r="F29" s="115"/>
      <c r="G29" s="115"/>
      <c r="H29" s="115"/>
      <c r="I29" s="115"/>
      <c r="J29" s="115"/>
      <c r="K29" s="133"/>
    </row>
    <row r="30" spans="1:11" ht="12.75">
      <c r="A30" s="132"/>
      <c r="B30" s="115"/>
      <c r="C30" s="115"/>
      <c r="D30" s="115"/>
      <c r="E30" s="115"/>
      <c r="F30" s="115"/>
      <c r="G30" s="115"/>
      <c r="H30" s="115"/>
      <c r="I30" s="115"/>
      <c r="J30" s="115"/>
      <c r="K30" s="133"/>
    </row>
    <row r="31" spans="1:11" ht="12.75">
      <c r="A31" s="132"/>
      <c r="B31" s="115"/>
      <c r="C31" s="115"/>
      <c r="D31" s="115"/>
      <c r="E31" s="115"/>
      <c r="F31" s="115"/>
      <c r="G31" s="115"/>
      <c r="H31" s="115"/>
      <c r="I31" s="115"/>
      <c r="J31" s="115"/>
      <c r="K31" s="133"/>
    </row>
    <row r="32" spans="1:11" ht="12.75">
      <c r="A32" s="132"/>
      <c r="B32" s="115"/>
      <c r="C32" s="115"/>
      <c r="D32" s="115"/>
      <c r="E32" s="115"/>
      <c r="F32" s="115"/>
      <c r="G32" s="115"/>
      <c r="H32" s="115"/>
      <c r="I32" s="115"/>
      <c r="J32" s="115"/>
      <c r="K32" s="133"/>
    </row>
    <row r="33" spans="1:11" ht="12.75">
      <c r="A33" s="132"/>
      <c r="B33" s="115"/>
      <c r="C33" s="115"/>
      <c r="D33" s="115"/>
      <c r="E33" s="115"/>
      <c r="F33" s="115"/>
      <c r="G33" s="115"/>
      <c r="H33" s="115"/>
      <c r="I33" s="115"/>
      <c r="J33" s="115"/>
      <c r="K33" s="133"/>
    </row>
    <row r="34" spans="1:11" ht="12.75">
      <c r="A34" s="132"/>
      <c r="B34" s="115"/>
      <c r="C34" s="115"/>
      <c r="D34" s="115"/>
      <c r="E34" s="115"/>
      <c r="F34" s="115"/>
      <c r="G34" s="115"/>
      <c r="H34" s="115"/>
      <c r="I34" s="115"/>
      <c r="J34" s="115"/>
      <c r="K34" s="133"/>
    </row>
    <row r="35" spans="1:11" ht="12.75">
      <c r="A35" s="132"/>
      <c r="B35" s="115"/>
      <c r="C35" s="115"/>
      <c r="D35" s="115"/>
      <c r="E35" s="115"/>
      <c r="F35" s="115"/>
      <c r="G35" s="115"/>
      <c r="H35" s="115"/>
      <c r="I35" s="115"/>
      <c r="J35" s="115"/>
      <c r="K35" s="133"/>
    </row>
    <row r="36" spans="1:11" ht="12.75">
      <c r="A36" s="132"/>
      <c r="B36" s="115"/>
      <c r="C36" s="115"/>
      <c r="D36" s="115"/>
      <c r="E36" s="115"/>
      <c r="F36" s="115"/>
      <c r="G36" s="115"/>
      <c r="H36" s="115"/>
      <c r="I36" s="115"/>
      <c r="J36" s="115"/>
      <c r="K36" s="133"/>
    </row>
    <row r="37" spans="1:11" ht="12.75">
      <c r="A37" s="132"/>
      <c r="B37" s="115"/>
      <c r="C37" s="115"/>
      <c r="D37" s="115"/>
      <c r="E37" s="115"/>
      <c r="F37" s="115"/>
      <c r="G37" s="115"/>
      <c r="H37" s="115"/>
      <c r="I37" s="115"/>
      <c r="J37" s="115"/>
      <c r="K37" s="133"/>
    </row>
    <row r="38" spans="1:11" ht="12.75">
      <c r="A38" s="132"/>
      <c r="B38" s="115"/>
      <c r="C38" s="115"/>
      <c r="D38" s="115"/>
      <c r="E38" s="115"/>
      <c r="F38" s="115"/>
      <c r="G38" s="115"/>
      <c r="H38" s="115"/>
      <c r="I38" s="115"/>
      <c r="J38" s="115"/>
      <c r="K38" s="133"/>
    </row>
    <row r="39" spans="1:11" ht="12.75">
      <c r="A39" s="132"/>
      <c r="B39" s="115"/>
      <c r="C39" s="115"/>
      <c r="D39" s="115"/>
      <c r="E39" s="115"/>
      <c r="F39" s="115"/>
      <c r="G39" s="115"/>
      <c r="H39" s="115"/>
      <c r="I39" s="115"/>
      <c r="J39" s="115"/>
      <c r="K39" s="133"/>
    </row>
    <row r="40" spans="1:11" ht="12.75">
      <c r="A40" s="132"/>
      <c r="B40" s="115"/>
      <c r="C40" s="115"/>
      <c r="D40" s="115"/>
      <c r="E40" s="115"/>
      <c r="F40" s="115"/>
      <c r="G40" s="115"/>
      <c r="H40" s="115"/>
      <c r="I40" s="115"/>
      <c r="J40" s="115"/>
      <c r="K40" s="133"/>
    </row>
    <row r="41" spans="1:11" ht="12.75">
      <c r="A41" s="132"/>
      <c r="B41" s="115"/>
      <c r="C41" s="115"/>
      <c r="D41" s="115"/>
      <c r="E41" s="115"/>
      <c r="F41" s="115"/>
      <c r="G41" s="115"/>
      <c r="H41" s="115"/>
      <c r="I41" s="115"/>
      <c r="J41" s="115"/>
      <c r="K41" s="133"/>
    </row>
    <row r="42" spans="1:11" ht="12.75">
      <c r="A42" s="132"/>
      <c r="B42" s="115"/>
      <c r="C42" s="115"/>
      <c r="D42" s="115"/>
      <c r="E42" s="115"/>
      <c r="F42" s="115"/>
      <c r="G42" s="115"/>
      <c r="H42" s="115"/>
      <c r="I42" s="115"/>
      <c r="J42" s="115"/>
      <c r="K42" s="133"/>
    </row>
    <row r="43" spans="1:11" ht="12.75">
      <c r="A43" s="132"/>
      <c r="B43" s="115"/>
      <c r="C43" s="115"/>
      <c r="D43" s="115"/>
      <c r="E43" s="115"/>
      <c r="F43" s="115"/>
      <c r="G43" s="115"/>
      <c r="H43" s="115"/>
      <c r="I43" s="115"/>
      <c r="J43" s="115"/>
      <c r="K43" s="133"/>
    </row>
    <row r="44" spans="1:11" ht="12.75">
      <c r="A44" s="132"/>
      <c r="B44" s="115"/>
      <c r="C44" s="115"/>
      <c r="D44" s="115"/>
      <c r="E44" s="115"/>
      <c r="F44" s="115"/>
      <c r="G44" s="115"/>
      <c r="H44" s="115"/>
      <c r="I44" s="115"/>
      <c r="J44" s="115"/>
      <c r="K44" s="133"/>
    </row>
    <row r="45" spans="1:11" ht="12.75">
      <c r="A45" s="132"/>
      <c r="B45" s="115"/>
      <c r="C45" s="115"/>
      <c r="D45" s="115"/>
      <c r="E45" s="115"/>
      <c r="F45" s="115"/>
      <c r="G45" s="115"/>
      <c r="H45" s="115"/>
      <c r="I45" s="115"/>
      <c r="J45" s="115"/>
      <c r="K45" s="133"/>
    </row>
    <row r="46" spans="1:11" ht="12.75">
      <c r="A46" s="132"/>
      <c r="B46" s="115"/>
      <c r="C46" s="115"/>
      <c r="D46" s="115"/>
      <c r="E46" s="115"/>
      <c r="F46" s="115"/>
      <c r="G46" s="115"/>
      <c r="H46" s="115"/>
      <c r="I46" s="115"/>
      <c r="J46" s="115"/>
      <c r="K46" s="133"/>
    </row>
    <row r="47" spans="1:11" ht="12.75">
      <c r="A47" s="132"/>
      <c r="B47" s="115"/>
      <c r="C47" s="115"/>
      <c r="D47" s="115"/>
      <c r="E47" s="115"/>
      <c r="F47" s="115"/>
      <c r="G47" s="115"/>
      <c r="H47" s="115"/>
      <c r="I47" s="115"/>
      <c r="J47" s="115"/>
      <c r="K47" s="133"/>
    </row>
    <row r="48" spans="1:11" ht="12.75">
      <c r="A48" s="132"/>
      <c r="B48" s="115"/>
      <c r="C48" s="115"/>
      <c r="D48" s="115"/>
      <c r="E48" s="115"/>
      <c r="F48" s="115"/>
      <c r="G48" s="115"/>
      <c r="H48" s="115"/>
      <c r="I48" s="115"/>
      <c r="J48" s="115"/>
      <c r="K48" s="133"/>
    </row>
    <row r="49" spans="1:11" ht="12.75">
      <c r="A49" s="132"/>
      <c r="B49" s="115"/>
      <c r="C49" s="115"/>
      <c r="D49" s="115"/>
      <c r="E49" s="115"/>
      <c r="F49" s="115"/>
      <c r="G49" s="115"/>
      <c r="H49" s="115"/>
      <c r="I49" s="115"/>
      <c r="J49" s="115"/>
      <c r="K49" s="133"/>
    </row>
    <row r="50" spans="1:11" ht="12.75">
      <c r="A50" s="132"/>
      <c r="B50" s="115"/>
      <c r="C50" s="115"/>
      <c r="D50" s="115"/>
      <c r="E50" s="115"/>
      <c r="F50" s="115"/>
      <c r="G50" s="115"/>
      <c r="H50" s="115"/>
      <c r="I50" s="115"/>
      <c r="J50" s="115"/>
      <c r="K50" s="133"/>
    </row>
    <row r="51" spans="1:11" ht="12.75">
      <c r="A51" s="132"/>
      <c r="B51" s="115"/>
      <c r="C51" s="115"/>
      <c r="D51" s="115"/>
      <c r="E51" s="115"/>
      <c r="F51" s="115"/>
      <c r="G51" s="115"/>
      <c r="H51" s="115"/>
      <c r="I51" s="115"/>
      <c r="J51" s="115"/>
      <c r="K51" s="133"/>
    </row>
    <row r="52" spans="1:11" ht="12.75">
      <c r="A52" s="132"/>
      <c r="B52" s="115"/>
      <c r="C52" s="115"/>
      <c r="D52" s="115"/>
      <c r="E52" s="115"/>
      <c r="F52" s="115"/>
      <c r="G52" s="115"/>
      <c r="H52" s="115"/>
      <c r="I52" s="115"/>
      <c r="J52" s="115"/>
      <c r="K52" s="133"/>
    </row>
    <row r="53" spans="1:11" ht="12.75">
      <c r="A53" s="132"/>
      <c r="B53" s="115"/>
      <c r="C53" s="115"/>
      <c r="D53" s="115"/>
      <c r="E53" s="115"/>
      <c r="F53" s="115"/>
      <c r="G53" s="115"/>
      <c r="H53" s="115"/>
      <c r="I53" s="115"/>
      <c r="J53" s="115"/>
      <c r="K53" s="133"/>
    </row>
    <row r="54" spans="1:11" ht="12.75">
      <c r="A54" s="132"/>
      <c r="B54" s="115"/>
      <c r="C54" s="115"/>
      <c r="D54" s="115"/>
      <c r="E54" s="115"/>
      <c r="F54" s="115"/>
      <c r="G54" s="115"/>
      <c r="H54" s="115"/>
      <c r="I54" s="115"/>
      <c r="J54" s="115"/>
      <c r="K54" s="133"/>
    </row>
    <row r="55" spans="1:11" ht="12.75">
      <c r="A55" s="132"/>
      <c r="B55" s="115"/>
      <c r="C55" s="115"/>
      <c r="D55" s="115"/>
      <c r="E55" s="115"/>
      <c r="F55" s="115"/>
      <c r="G55" s="115"/>
      <c r="H55" s="115"/>
      <c r="I55" s="115"/>
      <c r="J55" s="115"/>
      <c r="K55" s="133"/>
    </row>
    <row r="56" spans="1:11" ht="12.75">
      <c r="A56" s="132"/>
      <c r="B56" s="115"/>
      <c r="C56" s="115"/>
      <c r="D56" s="115"/>
      <c r="E56" s="115"/>
      <c r="F56" s="115"/>
      <c r="G56" s="115"/>
      <c r="H56" s="115"/>
      <c r="I56" s="115"/>
      <c r="J56" s="115"/>
      <c r="K56" s="133"/>
    </row>
    <row r="57" spans="1:11" ht="12.75">
      <c r="A57" s="132"/>
      <c r="B57" s="115"/>
      <c r="C57" s="115"/>
      <c r="D57" s="115"/>
      <c r="E57" s="115"/>
      <c r="F57" s="115"/>
      <c r="G57" s="115"/>
      <c r="H57" s="115"/>
      <c r="I57" s="115"/>
      <c r="J57" s="115"/>
      <c r="K57" s="133"/>
    </row>
    <row r="58" spans="1:11" ht="12.75">
      <c r="A58" s="132"/>
      <c r="B58" s="115"/>
      <c r="C58" s="115"/>
      <c r="D58" s="115"/>
      <c r="E58" s="115"/>
      <c r="F58" s="115"/>
      <c r="G58" s="115"/>
      <c r="H58" s="115"/>
      <c r="I58" s="115"/>
      <c r="J58" s="115"/>
      <c r="K58" s="133"/>
    </row>
    <row r="59" spans="1:11" ht="12.75">
      <c r="A59" s="132"/>
      <c r="B59" s="115"/>
      <c r="C59" s="115"/>
      <c r="D59" s="115"/>
      <c r="E59" s="115"/>
      <c r="F59" s="115"/>
      <c r="G59" s="115"/>
      <c r="H59" s="115"/>
      <c r="I59" s="115"/>
      <c r="J59" s="115"/>
      <c r="K59" s="133"/>
    </row>
    <row r="60" spans="1:11" ht="12.75">
      <c r="A60" s="132"/>
      <c r="B60" s="115"/>
      <c r="C60" s="115"/>
      <c r="D60" s="115"/>
      <c r="E60" s="115"/>
      <c r="F60" s="115"/>
      <c r="G60" s="115"/>
      <c r="H60" s="115"/>
      <c r="I60" s="115"/>
      <c r="J60" s="115"/>
      <c r="K60" s="133"/>
    </row>
    <row r="61" spans="1:11" ht="12.75">
      <c r="A61" s="132"/>
      <c r="B61" s="115"/>
      <c r="C61" s="115"/>
      <c r="D61" s="115"/>
      <c r="E61" s="115"/>
      <c r="F61" s="115"/>
      <c r="G61" s="115"/>
      <c r="H61" s="115"/>
      <c r="I61" s="115"/>
      <c r="J61" s="115"/>
      <c r="K61" s="133"/>
    </row>
    <row r="62" spans="1:11" ht="12.75">
      <c r="A62" s="132"/>
      <c r="B62" s="115"/>
      <c r="C62" s="115"/>
      <c r="D62" s="115"/>
      <c r="E62" s="115"/>
      <c r="F62" s="115"/>
      <c r="G62" s="115"/>
      <c r="H62" s="115"/>
      <c r="I62" s="115"/>
      <c r="J62" s="115"/>
      <c r="K62" s="133"/>
    </row>
    <row r="63" spans="1:11" ht="12.75">
      <c r="A63" s="132"/>
      <c r="B63" s="115"/>
      <c r="C63" s="115"/>
      <c r="D63" s="115"/>
      <c r="E63" s="115"/>
      <c r="F63" s="115"/>
      <c r="G63" s="115"/>
      <c r="H63" s="115"/>
      <c r="I63" s="115"/>
      <c r="J63" s="115"/>
      <c r="K63" s="133"/>
    </row>
    <row r="64" spans="1:11" ht="12.75">
      <c r="A64" s="132"/>
      <c r="B64" s="115"/>
      <c r="C64" s="115"/>
      <c r="D64" s="115"/>
      <c r="E64" s="115"/>
      <c r="F64" s="115"/>
      <c r="G64" s="115"/>
      <c r="H64" s="115"/>
      <c r="I64" s="115"/>
      <c r="J64" s="115"/>
      <c r="K64" s="133"/>
    </row>
    <row r="65" spans="1:11" ht="12.75">
      <c r="A65" s="132"/>
      <c r="B65" s="115"/>
      <c r="C65" s="115"/>
      <c r="D65" s="115"/>
      <c r="E65" s="115"/>
      <c r="F65" s="115"/>
      <c r="G65" s="115"/>
      <c r="H65" s="115"/>
      <c r="I65" s="115"/>
      <c r="J65" s="115"/>
      <c r="K65" s="133"/>
    </row>
    <row r="66" spans="1:11" ht="12.75">
      <c r="A66" s="132"/>
      <c r="B66" s="115"/>
      <c r="C66" s="115"/>
      <c r="D66" s="115"/>
      <c r="E66" s="115"/>
      <c r="F66" s="115"/>
      <c r="G66" s="115"/>
      <c r="H66" s="115"/>
      <c r="I66" s="115"/>
      <c r="J66" s="115"/>
      <c r="K66" s="133"/>
    </row>
    <row r="67" spans="1:11" ht="12.75">
      <c r="A67" s="132"/>
      <c r="B67" s="115"/>
      <c r="C67" s="115"/>
      <c r="D67" s="115"/>
      <c r="E67" s="115"/>
      <c r="F67" s="115"/>
      <c r="G67" s="115"/>
      <c r="H67" s="115"/>
      <c r="I67" s="115"/>
      <c r="J67" s="115"/>
      <c r="K67" s="133"/>
    </row>
    <row r="68" spans="1:11" ht="12.75">
      <c r="A68" s="132"/>
      <c r="B68" s="115"/>
      <c r="C68" s="115"/>
      <c r="D68" s="115"/>
      <c r="E68" s="115"/>
      <c r="F68" s="115"/>
      <c r="G68" s="115"/>
      <c r="H68" s="115"/>
      <c r="I68" s="115"/>
      <c r="J68" s="115"/>
      <c r="K68" s="133"/>
    </row>
    <row r="69" spans="1:11" ht="12.75">
      <c r="A69" s="132"/>
      <c r="B69" s="115"/>
      <c r="C69" s="115"/>
      <c r="D69" s="115"/>
      <c r="E69" s="115"/>
      <c r="F69" s="115"/>
      <c r="G69" s="115"/>
      <c r="H69" s="115"/>
      <c r="I69" s="115"/>
      <c r="J69" s="115"/>
      <c r="K69" s="133"/>
    </row>
    <row r="70" spans="1:11" ht="12.75">
      <c r="A70" s="132"/>
      <c r="B70" s="115"/>
      <c r="C70" s="115"/>
      <c r="D70" s="115"/>
      <c r="E70" s="115"/>
      <c r="F70" s="115"/>
      <c r="G70" s="115"/>
      <c r="H70" s="115"/>
      <c r="I70" s="115"/>
      <c r="J70" s="115"/>
      <c r="K70" s="133"/>
    </row>
    <row r="71" spans="1:11" ht="12.75">
      <c r="A71" s="132"/>
      <c r="B71" s="115"/>
      <c r="C71" s="115"/>
      <c r="D71" s="115"/>
      <c r="E71" s="115"/>
      <c r="F71" s="115"/>
      <c r="G71" s="115"/>
      <c r="H71" s="115"/>
      <c r="I71" s="115"/>
      <c r="J71" s="115"/>
      <c r="K71" s="133"/>
    </row>
    <row r="72" spans="1:11" ht="12.75">
      <c r="A72" s="132"/>
      <c r="B72" s="115"/>
      <c r="C72" s="115"/>
      <c r="D72" s="115"/>
      <c r="E72" s="115"/>
      <c r="F72" s="115"/>
      <c r="G72" s="115"/>
      <c r="H72" s="115"/>
      <c r="I72" s="115"/>
      <c r="J72" s="115"/>
      <c r="K72" s="133"/>
    </row>
    <row r="73" spans="1:11" ht="12.75">
      <c r="A73" s="132"/>
      <c r="B73" s="115"/>
      <c r="C73" s="115"/>
      <c r="D73" s="115"/>
      <c r="E73" s="115"/>
      <c r="F73" s="115"/>
      <c r="G73" s="115"/>
      <c r="H73" s="115"/>
      <c r="I73" s="115"/>
      <c r="J73" s="115"/>
      <c r="K73" s="133"/>
    </row>
    <row r="74" spans="1:11" ht="12.75">
      <c r="A74" s="132"/>
      <c r="B74" s="115"/>
      <c r="C74" s="115"/>
      <c r="D74" s="115"/>
      <c r="E74" s="115"/>
      <c r="F74" s="115"/>
      <c r="G74" s="115"/>
      <c r="H74" s="115"/>
      <c r="I74" s="115"/>
      <c r="J74" s="115"/>
      <c r="K74" s="133"/>
    </row>
    <row r="75" spans="1:11" ht="12.75">
      <c r="A75" s="132"/>
      <c r="B75" s="115"/>
      <c r="C75" s="115"/>
      <c r="D75" s="115"/>
      <c r="E75" s="115"/>
      <c r="F75" s="115"/>
      <c r="G75" s="115"/>
      <c r="H75" s="115"/>
      <c r="I75" s="115"/>
      <c r="J75" s="115"/>
      <c r="K75" s="133"/>
    </row>
    <row r="76" spans="1:11" ht="12.75">
      <c r="A76" s="132"/>
      <c r="B76" s="115"/>
      <c r="C76" s="115"/>
      <c r="D76" s="115"/>
      <c r="E76" s="115"/>
      <c r="F76" s="115"/>
      <c r="G76" s="115"/>
      <c r="H76" s="115"/>
      <c r="I76" s="115"/>
      <c r="J76" s="115"/>
      <c r="K76" s="133"/>
    </row>
    <row r="77" spans="1:11" ht="12.75">
      <c r="A77" s="132"/>
      <c r="B77" s="115"/>
      <c r="C77" s="115"/>
      <c r="D77" s="115"/>
      <c r="E77" s="115"/>
      <c r="F77" s="115"/>
      <c r="G77" s="115"/>
      <c r="H77" s="115"/>
      <c r="I77" s="115"/>
      <c r="J77" s="115"/>
      <c r="K77" s="133"/>
    </row>
    <row r="78" spans="1:11" ht="12.75">
      <c r="A78" s="132"/>
      <c r="B78" s="115"/>
      <c r="C78" s="115"/>
      <c r="D78" s="115"/>
      <c r="E78" s="115"/>
      <c r="F78" s="115"/>
      <c r="G78" s="115"/>
      <c r="H78" s="115"/>
      <c r="I78" s="115"/>
      <c r="J78" s="115"/>
      <c r="K78" s="133"/>
    </row>
    <row r="79" spans="1:11" ht="12.75">
      <c r="A79" s="132"/>
      <c r="B79" s="115"/>
      <c r="C79" s="115"/>
      <c r="D79" s="115"/>
      <c r="E79" s="115"/>
      <c r="F79" s="115"/>
      <c r="G79" s="115"/>
      <c r="H79" s="115"/>
      <c r="I79" s="115"/>
      <c r="J79" s="115"/>
      <c r="K79" s="133"/>
    </row>
    <row r="80" spans="1:11" ht="12.75">
      <c r="A80" s="132"/>
      <c r="B80" s="115"/>
      <c r="C80" s="115"/>
      <c r="D80" s="115"/>
      <c r="E80" s="115"/>
      <c r="F80" s="115"/>
      <c r="G80" s="115"/>
      <c r="H80" s="115"/>
      <c r="I80" s="115"/>
      <c r="J80" s="115"/>
      <c r="K80" s="133"/>
    </row>
    <row r="81" spans="1:11" ht="12.75">
      <c r="A81" s="132"/>
      <c r="B81" s="115"/>
      <c r="C81" s="115"/>
      <c r="D81" s="115"/>
      <c r="E81" s="115"/>
      <c r="F81" s="115"/>
      <c r="G81" s="115"/>
      <c r="H81" s="115"/>
      <c r="I81" s="115"/>
      <c r="J81" s="115"/>
      <c r="K81" s="133"/>
    </row>
    <row r="82" spans="1:11" ht="12.75">
      <c r="A82" s="132"/>
      <c r="B82" s="115"/>
      <c r="C82" s="115"/>
      <c r="D82" s="115"/>
      <c r="E82" s="115"/>
      <c r="F82" s="115"/>
      <c r="G82" s="115"/>
      <c r="H82" s="115"/>
      <c r="I82" s="115"/>
      <c r="J82" s="115"/>
      <c r="K82" s="133"/>
    </row>
    <row r="83" spans="1:11" ht="12.75">
      <c r="A83" s="132"/>
      <c r="B83" s="115"/>
      <c r="C83" s="115"/>
      <c r="D83" s="115"/>
      <c r="E83" s="115"/>
      <c r="F83" s="115"/>
      <c r="G83" s="115"/>
      <c r="H83" s="115"/>
      <c r="I83" s="115"/>
      <c r="J83" s="115"/>
      <c r="K83" s="133"/>
    </row>
    <row r="84" spans="1:11" ht="12.75">
      <c r="A84" s="132"/>
      <c r="B84" s="115"/>
      <c r="C84" s="115"/>
      <c r="D84" s="115"/>
      <c r="E84" s="115"/>
      <c r="F84" s="115"/>
      <c r="G84" s="115"/>
      <c r="H84" s="115"/>
      <c r="I84" s="115"/>
      <c r="J84" s="115"/>
      <c r="K84" s="133"/>
    </row>
    <row r="85" spans="1:11" ht="12.75">
      <c r="A85" s="132"/>
      <c r="B85" s="115"/>
      <c r="C85" s="115"/>
      <c r="D85" s="115"/>
      <c r="E85" s="115"/>
      <c r="F85" s="115"/>
      <c r="G85" s="115"/>
      <c r="H85" s="115"/>
      <c r="I85" s="115"/>
      <c r="J85" s="115"/>
      <c r="K85" s="133"/>
    </row>
    <row r="86" spans="1:11" ht="12.75">
      <c r="A86" s="132"/>
      <c r="B86" s="115"/>
      <c r="C86" s="115"/>
      <c r="D86" s="115"/>
      <c r="E86" s="115"/>
      <c r="F86" s="115"/>
      <c r="G86" s="115"/>
      <c r="H86" s="115"/>
      <c r="I86" s="115"/>
      <c r="J86" s="115"/>
      <c r="K86" s="133"/>
    </row>
    <row r="87" spans="1:11" ht="12.75">
      <c r="A87" s="132"/>
      <c r="B87" s="115"/>
      <c r="C87" s="115"/>
      <c r="D87" s="115"/>
      <c r="E87" s="115"/>
      <c r="F87" s="115"/>
      <c r="G87" s="115"/>
      <c r="H87" s="115"/>
      <c r="I87" s="115"/>
      <c r="J87" s="115"/>
      <c r="K87" s="133"/>
    </row>
    <row r="88" spans="1:11" ht="12.75">
      <c r="A88" s="132"/>
      <c r="B88" s="115"/>
      <c r="C88" s="115"/>
      <c r="D88" s="115"/>
      <c r="E88" s="115"/>
      <c r="F88" s="115"/>
      <c r="G88" s="115"/>
      <c r="H88" s="115"/>
      <c r="I88" s="115"/>
      <c r="J88" s="115"/>
      <c r="K88" s="133"/>
    </row>
    <row r="89" spans="1:11" ht="12.75">
      <c r="A89" s="132"/>
      <c r="B89" s="115"/>
      <c r="C89" s="115"/>
      <c r="D89" s="115"/>
      <c r="E89" s="115"/>
      <c r="F89" s="115"/>
      <c r="G89" s="115"/>
      <c r="H89" s="115"/>
      <c r="I89" s="115"/>
      <c r="J89" s="115"/>
      <c r="K89" s="133"/>
    </row>
    <row r="90" spans="1:11" ht="12.75">
      <c r="A90" s="132"/>
      <c r="B90" s="115"/>
      <c r="C90" s="115"/>
      <c r="D90" s="115"/>
      <c r="E90" s="115"/>
      <c r="F90" s="115"/>
      <c r="G90" s="115"/>
      <c r="H90" s="115"/>
      <c r="I90" s="115"/>
      <c r="J90" s="115"/>
      <c r="K90" s="133"/>
    </row>
    <row r="91" spans="1:11" ht="12.75">
      <c r="A91" s="132"/>
      <c r="B91" s="115"/>
      <c r="C91" s="115"/>
      <c r="D91" s="115"/>
      <c r="E91" s="115"/>
      <c r="F91" s="115"/>
      <c r="G91" s="115"/>
      <c r="H91" s="115"/>
      <c r="I91" s="115"/>
      <c r="J91" s="115"/>
      <c r="K91" s="133"/>
    </row>
    <row r="92" spans="1:11" ht="12.75">
      <c r="A92" s="132"/>
      <c r="B92" s="115"/>
      <c r="C92" s="115"/>
      <c r="D92" s="115"/>
      <c r="E92" s="115"/>
      <c r="F92" s="115"/>
      <c r="G92" s="115"/>
      <c r="H92" s="115"/>
      <c r="I92" s="115"/>
      <c r="J92" s="115"/>
      <c r="K92" s="133"/>
    </row>
    <row r="93" spans="1:11" ht="12.75">
      <c r="A93" s="134"/>
      <c r="B93" s="135"/>
      <c r="C93" s="135"/>
      <c r="D93" s="135"/>
      <c r="E93" s="135"/>
      <c r="F93" s="135"/>
      <c r="G93" s="135"/>
      <c r="H93" s="135"/>
      <c r="I93" s="135"/>
      <c r="J93" s="135"/>
      <c r="K93" s="136"/>
    </row>
    <row r="94" spans="1:11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</row>
  </sheetData>
  <sheetProtection sheet="1" objects="1" scenarios="1"/>
  <printOptions/>
  <pageMargins left="0.75" right="0.75" top="1" bottom="1" header="0.5" footer="0.5"/>
  <pageSetup orientation="portrait" paperSize="9"/>
  <legacyDrawing r:id="rId3"/>
  <oleObjects>
    <oleObject progId="Word.Document.8" shapeId="2038018" r:id="rId1"/>
    <oleObject progId="Word.Document.8" shapeId="20380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="115" zoomScaleNormal="115" workbookViewId="0" topLeftCell="A1">
      <selection activeCell="B8" sqref="B8"/>
    </sheetView>
  </sheetViews>
  <sheetFormatPr defaultColWidth="9.140625" defaultRowHeight="12.75"/>
  <cols>
    <col min="1" max="1" width="11.8515625" style="0" customWidth="1"/>
    <col min="2" max="2" width="9.8515625" style="0" customWidth="1"/>
    <col min="3" max="3" width="12.7109375" style="0" customWidth="1"/>
    <col min="4" max="4" width="9.8515625" style="0" bestFit="1" customWidth="1"/>
    <col min="5" max="5" width="9.7109375" style="0" customWidth="1"/>
    <col min="6" max="6" width="9.140625" style="0" customWidth="1"/>
    <col min="7" max="7" width="8.7109375" style="0" customWidth="1"/>
    <col min="8" max="9" width="9.28125" style="0" customWidth="1"/>
    <col min="10" max="10" width="9.8515625" style="0" customWidth="1"/>
    <col min="11" max="11" width="9.7109375" style="0" customWidth="1"/>
  </cols>
  <sheetData>
    <row r="1" spans="1:4" ht="12.75">
      <c r="A1" s="83" t="s">
        <v>88</v>
      </c>
      <c r="B1" s="86">
        <v>40</v>
      </c>
      <c r="C1" s="84" t="s">
        <v>103</v>
      </c>
      <c r="D1" s="85" t="s">
        <v>101</v>
      </c>
    </row>
    <row r="2" spans="1:4" ht="12.75">
      <c r="A2" s="11" t="s">
        <v>89</v>
      </c>
      <c r="B2" s="87">
        <v>-74</v>
      </c>
      <c r="C2" s="28" t="s">
        <v>103</v>
      </c>
      <c r="D2" s="32" t="s">
        <v>102</v>
      </c>
    </row>
    <row r="3" spans="1:4" ht="13.5" thickBot="1">
      <c r="A3" s="13" t="s">
        <v>157</v>
      </c>
      <c r="B3" s="92">
        <v>1.6</v>
      </c>
      <c r="C3" s="30" t="s">
        <v>158</v>
      </c>
      <c r="D3" s="33"/>
    </row>
    <row r="4" spans="1:3" ht="15">
      <c r="A4" s="37" t="s">
        <v>147</v>
      </c>
      <c r="B4" s="88">
        <v>9.8</v>
      </c>
      <c r="C4" t="s">
        <v>105</v>
      </c>
    </row>
    <row r="5" spans="1:9" ht="12.75">
      <c r="A5" s="45" t="s">
        <v>99</v>
      </c>
      <c r="B5" s="90">
        <v>0.94665</v>
      </c>
      <c r="C5" t="s">
        <v>104</v>
      </c>
      <c r="D5" s="28" t="s">
        <v>146</v>
      </c>
      <c r="E5" s="28"/>
      <c r="F5" s="28"/>
      <c r="G5" s="28"/>
      <c r="H5" s="28"/>
      <c r="I5" s="28"/>
    </row>
    <row r="6" spans="1:9" ht="16.5" thickBot="1">
      <c r="A6" s="37" t="s">
        <v>150</v>
      </c>
      <c r="B6" s="91">
        <f>$B$5/$B$4</f>
        <v>0.09659693877551019</v>
      </c>
      <c r="C6" t="s">
        <v>97</v>
      </c>
      <c r="D6" s="30"/>
      <c r="E6" s="30"/>
      <c r="F6" s="30"/>
      <c r="G6" s="30"/>
      <c r="H6" s="30"/>
      <c r="I6" s="30"/>
    </row>
    <row r="7" spans="1:9" ht="15">
      <c r="A7" s="37" t="s">
        <v>148</v>
      </c>
      <c r="B7" s="91">
        <f>1/($B$6*2*PI())</f>
        <v>1.6476189112138324</v>
      </c>
      <c r="C7" t="s">
        <v>107</v>
      </c>
      <c r="D7" s="11" t="s">
        <v>181</v>
      </c>
      <c r="E7" s="28"/>
      <c r="F7" s="28"/>
      <c r="G7" s="28"/>
      <c r="H7" s="28"/>
      <c r="I7" s="32"/>
    </row>
    <row r="8" spans="1:9" ht="16.5">
      <c r="A8" s="45" t="s">
        <v>153</v>
      </c>
      <c r="B8" s="89">
        <v>6</v>
      </c>
      <c r="C8" t="s">
        <v>108</v>
      </c>
      <c r="D8" s="11" t="s">
        <v>165</v>
      </c>
      <c r="E8" s="28"/>
      <c r="F8" s="28"/>
      <c r="G8" s="28"/>
      <c r="H8" s="28"/>
      <c r="I8" s="32"/>
    </row>
    <row r="9" spans="1:9" ht="12.75">
      <c r="A9" s="37" t="s">
        <v>149</v>
      </c>
      <c r="B9" s="91">
        <f>$B$8*$B$5*$B$5/$B$4</f>
        <v>0.5486609525510203</v>
      </c>
      <c r="C9" t="s">
        <v>106</v>
      </c>
      <c r="D9" s="11"/>
      <c r="E9" s="28"/>
      <c r="F9" s="28"/>
      <c r="G9" s="28"/>
      <c r="H9" s="28"/>
      <c r="I9" s="32"/>
    </row>
    <row r="10" spans="1:9" ht="15">
      <c r="A10" s="37" t="s">
        <v>149</v>
      </c>
      <c r="B10" s="91">
        <f>$B$8*$B$6*$B$6</f>
        <v>0.05598581148479799</v>
      </c>
      <c r="C10" s="2" t="s">
        <v>98</v>
      </c>
      <c r="D10" s="11" t="s">
        <v>161</v>
      </c>
      <c r="E10" s="28"/>
      <c r="F10" s="28"/>
      <c r="G10" s="28"/>
      <c r="H10" s="28"/>
      <c r="I10" s="32"/>
    </row>
    <row r="11" spans="1:9" ht="15" customHeight="1">
      <c r="A11" s="37" t="s">
        <v>151</v>
      </c>
      <c r="B11" s="91">
        <f>$B$8*$B$6</f>
        <v>0.5795816326530612</v>
      </c>
      <c r="C11" t="s">
        <v>97</v>
      </c>
      <c r="D11" s="11"/>
      <c r="E11" s="28"/>
      <c r="F11" s="28"/>
      <c r="G11" s="28"/>
      <c r="H11" s="28"/>
      <c r="I11" s="32"/>
    </row>
    <row r="12" spans="1:9" ht="15.75" thickBot="1">
      <c r="A12" s="37" t="s">
        <v>152</v>
      </c>
      <c r="B12" s="91">
        <f>1/($B$11*2*PI())</f>
        <v>0.2746031518689721</v>
      </c>
      <c r="C12" t="s">
        <v>107</v>
      </c>
      <c r="D12" s="13" t="s">
        <v>166</v>
      </c>
      <c r="E12" s="30"/>
      <c r="F12" s="30"/>
      <c r="G12" s="30"/>
      <c r="H12" s="30"/>
      <c r="I12" s="33"/>
    </row>
    <row r="13" spans="1:2" ht="13.5" thickBot="1">
      <c r="A13" s="37"/>
      <c r="B13" s="10"/>
    </row>
    <row r="14" spans="1:11" ht="26.25" customHeight="1" thickBot="1" thickTop="1">
      <c r="A14" s="140" t="s">
        <v>155</v>
      </c>
      <c r="B14" s="141"/>
      <c r="C14" s="141"/>
      <c r="D14" s="142"/>
      <c r="E14" s="137" t="s">
        <v>154</v>
      </c>
      <c r="F14" s="138"/>
      <c r="G14" s="138"/>
      <c r="H14" s="139"/>
      <c r="I14" s="143" t="s">
        <v>159</v>
      </c>
      <c r="J14" s="144"/>
      <c r="K14" s="145"/>
    </row>
    <row r="15" spans="1:11" ht="30" thickBot="1" thickTop="1">
      <c r="A15" s="7" t="s">
        <v>93</v>
      </c>
      <c r="B15" s="8" t="s">
        <v>91</v>
      </c>
      <c r="C15" s="8" t="s">
        <v>92</v>
      </c>
      <c r="D15" s="9" t="s">
        <v>160</v>
      </c>
      <c r="E15" s="8" t="s">
        <v>94</v>
      </c>
      <c r="F15" s="8" t="s">
        <v>90</v>
      </c>
      <c r="G15" s="8" t="s">
        <v>87</v>
      </c>
      <c r="H15" s="9" t="s">
        <v>96</v>
      </c>
      <c r="I15" s="7" t="s">
        <v>95</v>
      </c>
      <c r="J15" s="8" t="s">
        <v>109</v>
      </c>
      <c r="K15" s="9" t="s">
        <v>100</v>
      </c>
    </row>
    <row r="16" spans="1:12" ht="14.25" thickBot="1" thickTop="1">
      <c r="A16" s="77" t="s">
        <v>162</v>
      </c>
      <c r="B16" s="78">
        <f>B1</f>
        <v>40</v>
      </c>
      <c r="C16" s="78">
        <f>B2</f>
        <v>-74</v>
      </c>
      <c r="D16" s="93">
        <f>$B$3</f>
        <v>1.6</v>
      </c>
      <c r="E16" s="22">
        <f aca="true" t="shared" si="0" ref="E16:E47">$D16/100</f>
        <v>0.016</v>
      </c>
      <c r="F16" s="21">
        <f aca="true" t="shared" si="1" ref="F16:F47">$E16*$B$4</f>
        <v>0.15680000000000002</v>
      </c>
      <c r="G16" s="21">
        <f aca="true" t="shared" si="2" ref="G16:G47">$E16*$B$5</f>
        <v>0.0151464</v>
      </c>
      <c r="H16" s="23">
        <f aca="true" t="shared" si="3" ref="H16:H47">$E16*$B$9</f>
        <v>0.008778575240816325</v>
      </c>
      <c r="I16" s="24">
        <f>$B$1*PI()/180</f>
        <v>0.6981317007977318</v>
      </c>
      <c r="J16" s="25">
        <f>$B$2*PI()/180</f>
        <v>-1.2915436464758039</v>
      </c>
      <c r="K16" s="26">
        <f>(ACOS(SIN($I$16)*SIN($I$16)+COS($I$16)*COS($I$16)*COS($J$16-$J$16)))*180/PI()</f>
        <v>8.537736462515939E-07</v>
      </c>
      <c r="L16" s="19"/>
    </row>
    <row r="17" spans="1:11" ht="13.5" thickTop="1">
      <c r="A17" s="14" t="s">
        <v>34</v>
      </c>
      <c r="B17" s="79">
        <v>41.678</v>
      </c>
      <c r="C17" s="79">
        <v>-73.224</v>
      </c>
      <c r="D17" s="15">
        <v>1.6043</v>
      </c>
      <c r="E17" s="19">
        <f t="shared" si="0"/>
        <v>0.016043</v>
      </c>
      <c r="F17" s="12">
        <f t="shared" si="1"/>
        <v>0.15722140000000004</v>
      </c>
      <c r="G17" s="12">
        <f t="shared" si="2"/>
        <v>0.015187105950000002</v>
      </c>
      <c r="H17" s="15">
        <f t="shared" si="3"/>
        <v>0.00880216766177602</v>
      </c>
      <c r="I17" s="3">
        <f>$B17*PI()/180</f>
        <v>0.7274183256461966</v>
      </c>
      <c r="J17" s="4">
        <f>$C17*PI()/180</f>
        <v>-1.2779998914803279</v>
      </c>
      <c r="K17" s="5">
        <f aca="true" t="shared" si="4" ref="K17:K48">(ACOS(SIN($I$16)*SIN($I17)+COS($I$16)*COS($I17)*COS($J17-$J$16)))*180/PI()</f>
        <v>1.777714320619451</v>
      </c>
    </row>
    <row r="18" spans="1:11" ht="12.75">
      <c r="A18" s="14" t="s">
        <v>4</v>
      </c>
      <c r="B18" s="79">
        <v>42.199</v>
      </c>
      <c r="C18" s="79">
        <v>-75.986</v>
      </c>
      <c r="D18" s="15">
        <v>1.55967</v>
      </c>
      <c r="E18" s="19">
        <f t="shared" si="0"/>
        <v>0.015596699999999998</v>
      </c>
      <c r="F18" s="12">
        <f t="shared" si="1"/>
        <v>0.15284766</v>
      </c>
      <c r="G18" s="12">
        <f t="shared" si="2"/>
        <v>0.014764616054999999</v>
      </c>
      <c r="H18" s="15">
        <f t="shared" si="3"/>
        <v>0.008557300278652497</v>
      </c>
      <c r="I18" s="3">
        <f aca="true" t="shared" si="5" ref="I18:I81">$B18*PI()/180</f>
        <v>0.7365114910490871</v>
      </c>
      <c r="J18" s="4">
        <f aca="true" t="shared" si="6" ref="J18:J81">$C18*PI()/180</f>
        <v>-1.3262058854204113</v>
      </c>
      <c r="K18" s="5">
        <f t="shared" si="4"/>
        <v>2.6597702766526297</v>
      </c>
    </row>
    <row r="19" spans="1:11" ht="12.75">
      <c r="A19" s="14" t="s">
        <v>54</v>
      </c>
      <c r="B19" s="79">
        <v>40.636</v>
      </c>
      <c r="C19" s="79">
        <v>-77.888</v>
      </c>
      <c r="D19" s="15">
        <v>1.39316</v>
      </c>
      <c r="E19" s="19">
        <f t="shared" si="0"/>
        <v>0.013931599999999999</v>
      </c>
      <c r="F19" s="12">
        <f t="shared" si="1"/>
        <v>0.13652968</v>
      </c>
      <c r="G19" s="12">
        <f t="shared" si="2"/>
        <v>0.013188349139999998</v>
      </c>
      <c r="H19" s="15">
        <f t="shared" si="3"/>
        <v>0.007643724926559794</v>
      </c>
      <c r="I19" s="3">
        <f t="shared" si="5"/>
        <v>0.7092319948404158</v>
      </c>
      <c r="J19" s="4">
        <f t="shared" si="6"/>
        <v>-1.3594020477933435</v>
      </c>
      <c r="K19" s="5">
        <f t="shared" si="4"/>
        <v>3.031641027795124</v>
      </c>
    </row>
    <row r="20" spans="1:11" ht="12.75">
      <c r="A20" s="14" t="s">
        <v>25</v>
      </c>
      <c r="B20" s="79">
        <v>42.506</v>
      </c>
      <c r="C20" s="79">
        <v>-71.558</v>
      </c>
      <c r="D20" s="15">
        <v>1.7487</v>
      </c>
      <c r="E20" s="19">
        <f t="shared" si="0"/>
        <v>0.017487</v>
      </c>
      <c r="F20" s="12">
        <f t="shared" si="1"/>
        <v>0.1713726</v>
      </c>
      <c r="G20" s="12">
        <f t="shared" si="2"/>
        <v>0.01655406855</v>
      </c>
      <c r="H20" s="15">
        <f t="shared" si="3"/>
        <v>0.009594434077259692</v>
      </c>
      <c r="I20" s="3">
        <f t="shared" si="5"/>
        <v>0.7418696518527098</v>
      </c>
      <c r="J20" s="4">
        <f t="shared" si="6"/>
        <v>-1.2489227061421024</v>
      </c>
      <c r="K20" s="5">
        <f t="shared" si="4"/>
        <v>3.106219022137496</v>
      </c>
    </row>
    <row r="21" spans="1:11" ht="12.75">
      <c r="A21" s="14" t="s">
        <v>11</v>
      </c>
      <c r="B21" s="79">
        <v>38.205</v>
      </c>
      <c r="C21" s="79">
        <v>-77.373</v>
      </c>
      <c r="D21" s="15">
        <v>1.40863</v>
      </c>
      <c r="E21" s="19">
        <f t="shared" si="0"/>
        <v>0.014086300000000001</v>
      </c>
      <c r="F21" s="12">
        <f t="shared" si="1"/>
        <v>0.13804574000000003</v>
      </c>
      <c r="G21" s="12">
        <f t="shared" si="2"/>
        <v>0.013334795895000001</v>
      </c>
      <c r="H21" s="15">
        <f t="shared" si="3"/>
        <v>0.007728602775919438</v>
      </c>
      <c r="I21" s="3">
        <f t="shared" si="5"/>
        <v>0.6668030407244335</v>
      </c>
      <c r="J21" s="4">
        <f t="shared" si="6"/>
        <v>-1.3504136021455726</v>
      </c>
      <c r="K21" s="5">
        <f t="shared" si="4"/>
        <v>3.1734735396736418</v>
      </c>
    </row>
    <row r="22" spans="1:11" ht="12.75">
      <c r="A22" s="14" t="s">
        <v>42</v>
      </c>
      <c r="B22" s="79">
        <v>43.971</v>
      </c>
      <c r="C22" s="79">
        <v>-74.224</v>
      </c>
      <c r="D22" s="15">
        <v>2.35631</v>
      </c>
      <c r="E22" s="19">
        <f t="shared" si="0"/>
        <v>0.0235631</v>
      </c>
      <c r="F22" s="12">
        <f t="shared" si="1"/>
        <v>0.23091838</v>
      </c>
      <c r="G22" s="12">
        <f t="shared" si="2"/>
        <v>0.022306008615</v>
      </c>
      <c r="H22" s="15">
        <f t="shared" si="3"/>
        <v>0.012928152891054947</v>
      </c>
      <c r="I22" s="3">
        <f t="shared" si="5"/>
        <v>0.7674387253944265</v>
      </c>
      <c r="J22" s="4">
        <f t="shared" si="6"/>
        <v>-1.2954531840002712</v>
      </c>
      <c r="K22" s="5">
        <f t="shared" si="4"/>
        <v>3.9744843628659616</v>
      </c>
    </row>
    <row r="23" spans="1:11" ht="12.75">
      <c r="A23" s="14" t="s">
        <v>36</v>
      </c>
      <c r="B23" s="79">
        <v>39.658</v>
      </c>
      <c r="C23" s="79">
        <v>-79.846</v>
      </c>
      <c r="D23" s="15">
        <v>1.58441</v>
      </c>
      <c r="E23" s="19">
        <f t="shared" si="0"/>
        <v>0.0158441</v>
      </c>
      <c r="F23" s="12">
        <f t="shared" si="1"/>
        <v>0.15527218</v>
      </c>
      <c r="G23" s="12">
        <f t="shared" si="2"/>
        <v>0.014998817265</v>
      </c>
      <c r="H23" s="15">
        <f t="shared" si="3"/>
        <v>0.008693038998313621</v>
      </c>
      <c r="I23" s="3">
        <f t="shared" si="5"/>
        <v>0.6921626747559112</v>
      </c>
      <c r="J23" s="4">
        <f t="shared" si="6"/>
        <v>-1.3935755945473924</v>
      </c>
      <c r="K23" s="5">
        <f t="shared" si="4"/>
        <v>4.501680883975991</v>
      </c>
    </row>
    <row r="24" spans="1:11" ht="12.75">
      <c r="A24" s="14" t="s">
        <v>31</v>
      </c>
      <c r="B24" s="79">
        <v>44.24</v>
      </c>
      <c r="C24" s="79">
        <v>-71.926</v>
      </c>
      <c r="D24" s="15">
        <v>2.28053</v>
      </c>
      <c r="E24" s="19">
        <f t="shared" si="0"/>
        <v>0.0228053</v>
      </c>
      <c r="F24" s="12">
        <f t="shared" si="1"/>
        <v>0.22349194000000003</v>
      </c>
      <c r="G24" s="12">
        <f t="shared" si="2"/>
        <v>0.021588637245</v>
      </c>
      <c r="H24" s="15">
        <f t="shared" si="3"/>
        <v>0.012512377621211783</v>
      </c>
      <c r="I24" s="3">
        <f t="shared" si="5"/>
        <v>0.7721336610822913</v>
      </c>
      <c r="J24" s="4">
        <f t="shared" si="6"/>
        <v>-1.2553455177894415</v>
      </c>
      <c r="K24" s="5">
        <f t="shared" si="4"/>
        <v>4.510026962365748</v>
      </c>
    </row>
    <row r="25" spans="1:11" ht="12.75">
      <c r="A25" s="14" t="s">
        <v>71</v>
      </c>
      <c r="B25" s="79">
        <v>44.67</v>
      </c>
      <c r="C25" s="79">
        <v>-74.98</v>
      </c>
      <c r="D25" s="15">
        <v>2.69817</v>
      </c>
      <c r="E25" s="19">
        <f t="shared" si="0"/>
        <v>0.0269817</v>
      </c>
      <c r="F25" s="12">
        <f t="shared" si="1"/>
        <v>0.26442066000000003</v>
      </c>
      <c r="G25" s="12">
        <f t="shared" si="2"/>
        <v>0.025542226305000002</v>
      </c>
      <c r="H25" s="15">
        <f t="shared" si="3"/>
        <v>0.014803805223445866</v>
      </c>
      <c r="I25" s="3">
        <f t="shared" si="5"/>
        <v>0.7796385768658669</v>
      </c>
      <c r="J25" s="4">
        <f t="shared" si="6"/>
        <v>-1.3086478731453484</v>
      </c>
      <c r="K25" s="5">
        <f t="shared" si="4"/>
        <v>4.725747187434834</v>
      </c>
    </row>
    <row r="26" spans="1:11" ht="12.75">
      <c r="A26" s="14" t="s">
        <v>82</v>
      </c>
      <c r="B26" s="79">
        <v>42.13</v>
      </c>
      <c r="C26" s="79">
        <v>-80.09</v>
      </c>
      <c r="D26" s="15">
        <v>1.45301</v>
      </c>
      <c r="E26" s="19">
        <f t="shared" si="0"/>
        <v>0.014530099999999999</v>
      </c>
      <c r="F26" s="12">
        <f t="shared" si="1"/>
        <v>0.14239498</v>
      </c>
      <c r="G26" s="12">
        <f t="shared" si="2"/>
        <v>0.013754919164999999</v>
      </c>
      <c r="H26" s="15">
        <f t="shared" si="3"/>
        <v>0.00797209850666158</v>
      </c>
      <c r="I26" s="3">
        <f t="shared" si="5"/>
        <v>0.7353072138652111</v>
      </c>
      <c r="J26" s="4">
        <f t="shared" si="6"/>
        <v>-1.3978341979222586</v>
      </c>
      <c r="K26" s="5">
        <f t="shared" si="4"/>
        <v>5.059998253494313</v>
      </c>
    </row>
    <row r="27" spans="1:11" ht="12.75">
      <c r="A27" s="14" t="s">
        <v>5</v>
      </c>
      <c r="B27" s="79">
        <v>37.211</v>
      </c>
      <c r="C27" s="79">
        <v>-80.421</v>
      </c>
      <c r="D27" s="15">
        <v>2.19246</v>
      </c>
      <c r="E27" s="19">
        <f t="shared" si="0"/>
        <v>0.021924600000000002</v>
      </c>
      <c r="F27" s="12">
        <f t="shared" si="1"/>
        <v>0.21486108000000004</v>
      </c>
      <c r="G27" s="12">
        <f t="shared" si="2"/>
        <v>0.020754922590000002</v>
      </c>
      <c r="H27" s="15">
        <f t="shared" si="3"/>
        <v>0.012029171920300102</v>
      </c>
      <c r="I27" s="3">
        <f t="shared" si="5"/>
        <v>0.6494544679596099</v>
      </c>
      <c r="J27" s="4">
        <f t="shared" si="6"/>
        <v>-1.4036112377463599</v>
      </c>
      <c r="K27" s="5">
        <f t="shared" si="4"/>
        <v>5.738612406256556</v>
      </c>
    </row>
    <row r="28" spans="1:11" ht="12.75">
      <c r="A28" s="14" t="s">
        <v>73</v>
      </c>
      <c r="B28" s="79">
        <v>35.2</v>
      </c>
      <c r="C28" s="79">
        <v>-78.07</v>
      </c>
      <c r="D28" s="15">
        <v>1.58377</v>
      </c>
      <c r="E28" s="19">
        <f t="shared" si="0"/>
        <v>0.0158377</v>
      </c>
      <c r="F28" s="12">
        <f t="shared" si="1"/>
        <v>0.15520946000000002</v>
      </c>
      <c r="G28" s="12">
        <f t="shared" si="2"/>
        <v>0.014992758705</v>
      </c>
      <c r="H28" s="15">
        <f t="shared" si="3"/>
        <v>0.008689527568217295</v>
      </c>
      <c r="I28" s="3">
        <f t="shared" si="5"/>
        <v>0.6143558967020041</v>
      </c>
      <c r="J28" s="4">
        <f t="shared" si="6"/>
        <v>-1.362578547031973</v>
      </c>
      <c r="K28" s="5">
        <f t="shared" si="4"/>
        <v>5.780971314144155</v>
      </c>
    </row>
    <row r="29" spans="1:11" ht="12.75">
      <c r="A29" s="14" t="s">
        <v>72</v>
      </c>
      <c r="B29" s="79">
        <v>45.66</v>
      </c>
      <c r="C29" s="79">
        <v>-68.71</v>
      </c>
      <c r="D29" s="15">
        <v>2.14441</v>
      </c>
      <c r="E29" s="19">
        <f t="shared" si="0"/>
        <v>0.0214441</v>
      </c>
      <c r="F29" s="12">
        <f t="shared" si="1"/>
        <v>0.21015218000000002</v>
      </c>
      <c r="G29" s="12">
        <f t="shared" si="2"/>
        <v>0.020300057265</v>
      </c>
      <c r="H29" s="15">
        <f t="shared" si="3"/>
        <v>0.011765540332599335</v>
      </c>
      <c r="I29" s="3">
        <f t="shared" si="5"/>
        <v>0.7969173364606108</v>
      </c>
      <c r="J29" s="4">
        <f t="shared" si="6"/>
        <v>-1.1992157290453036</v>
      </c>
      <c r="K29" s="5">
        <f t="shared" si="4"/>
        <v>6.85840617933905</v>
      </c>
    </row>
    <row r="30" spans="1:11" ht="12.75">
      <c r="A30" s="14" t="s">
        <v>1</v>
      </c>
      <c r="B30" s="79">
        <v>40.232</v>
      </c>
      <c r="C30" s="79">
        <v>-82.983</v>
      </c>
      <c r="D30" s="15">
        <v>1.73643</v>
      </c>
      <c r="E30" s="19">
        <f t="shared" si="0"/>
        <v>0.0173643</v>
      </c>
      <c r="F30" s="12">
        <f t="shared" si="1"/>
        <v>0.17017014</v>
      </c>
      <c r="G30" s="12">
        <f t="shared" si="2"/>
        <v>0.016437914595</v>
      </c>
      <c r="H30" s="15">
        <f t="shared" si="3"/>
        <v>0.009527113378381682</v>
      </c>
      <c r="I30" s="3">
        <f t="shared" si="5"/>
        <v>0.7021808646623586</v>
      </c>
      <c r="J30" s="4">
        <f t="shared" si="6"/>
        <v>-1.4483265731824546</v>
      </c>
      <c r="K30" s="5">
        <f t="shared" si="4"/>
        <v>6.870651302139702</v>
      </c>
    </row>
    <row r="31" spans="1:11" ht="12.75">
      <c r="A31" s="14" t="s">
        <v>0</v>
      </c>
      <c r="B31" s="79">
        <v>42.301</v>
      </c>
      <c r="C31" s="79">
        <v>-83.657</v>
      </c>
      <c r="D31" s="15">
        <v>1.33097</v>
      </c>
      <c r="E31" s="19">
        <f t="shared" si="0"/>
        <v>0.0133097</v>
      </c>
      <c r="F31" s="12">
        <f t="shared" si="1"/>
        <v>0.13043506000000002</v>
      </c>
      <c r="G31" s="12">
        <f t="shared" si="2"/>
        <v>0.012599627505</v>
      </c>
      <c r="H31" s="15">
        <f t="shared" si="3"/>
        <v>0.0073025126801683155</v>
      </c>
      <c r="I31" s="3">
        <f t="shared" si="5"/>
        <v>0.7382917268861214</v>
      </c>
      <c r="J31" s="4">
        <f t="shared" si="6"/>
        <v>-1.4600900923408962</v>
      </c>
      <c r="K31" s="5">
        <f t="shared" si="4"/>
        <v>7.62184878991947</v>
      </c>
    </row>
    <row r="32" spans="1:11" ht="12.75">
      <c r="A32" s="14" t="s">
        <v>83</v>
      </c>
      <c r="B32" s="79">
        <v>36.6</v>
      </c>
      <c r="C32" s="79">
        <v>-83.72</v>
      </c>
      <c r="D32" s="15">
        <v>2.94214</v>
      </c>
      <c r="E32" s="19">
        <f t="shared" si="0"/>
        <v>0.0294214</v>
      </c>
      <c r="F32" s="12">
        <f t="shared" si="1"/>
        <v>0.28832972</v>
      </c>
      <c r="G32" s="12">
        <f t="shared" si="2"/>
        <v>0.02785176831</v>
      </c>
      <c r="H32" s="15">
        <f t="shared" si="3"/>
        <v>0.01614237334938459</v>
      </c>
      <c r="I32" s="3">
        <f t="shared" si="5"/>
        <v>0.6387905062299246</v>
      </c>
      <c r="J32" s="4">
        <f t="shared" si="6"/>
        <v>-1.4611896497696526</v>
      </c>
      <c r="K32" s="5">
        <f t="shared" si="4"/>
        <v>8.345301918701907</v>
      </c>
    </row>
    <row r="33" spans="1:11" ht="12.75">
      <c r="A33" s="14" t="s">
        <v>44</v>
      </c>
      <c r="B33" s="79">
        <v>33.107</v>
      </c>
      <c r="C33" s="79">
        <v>-80.178</v>
      </c>
      <c r="D33" s="15">
        <v>3.24518</v>
      </c>
      <c r="E33" s="19">
        <f t="shared" si="0"/>
        <v>0.0324518</v>
      </c>
      <c r="F33" s="12">
        <f t="shared" si="1"/>
        <v>0.31802764000000006</v>
      </c>
      <c r="G33" s="12">
        <f t="shared" si="2"/>
        <v>0.030720496470000004</v>
      </c>
      <c r="H33" s="15">
        <f t="shared" si="3"/>
        <v>0.017805035499995202</v>
      </c>
      <c r="I33" s="3">
        <f t="shared" si="5"/>
        <v>0.5778261554577627</v>
      </c>
      <c r="J33" s="4">
        <f t="shared" si="6"/>
        <v>-1.3993700876640136</v>
      </c>
      <c r="K33" s="5">
        <f t="shared" si="4"/>
        <v>8.4885534278589</v>
      </c>
    </row>
    <row r="34" spans="1:11" ht="12.75">
      <c r="A34" s="14" t="s">
        <v>68</v>
      </c>
      <c r="B34" s="79">
        <v>44.66</v>
      </c>
      <c r="C34" s="79">
        <v>-84.72</v>
      </c>
      <c r="D34" s="15">
        <v>0.93918</v>
      </c>
      <c r="E34" s="19">
        <f t="shared" si="0"/>
        <v>0.0093918</v>
      </c>
      <c r="F34" s="12">
        <f t="shared" si="1"/>
        <v>0.09203964</v>
      </c>
      <c r="G34" s="12">
        <f t="shared" si="2"/>
        <v>0.00889074747</v>
      </c>
      <c r="H34" s="15">
        <f t="shared" si="3"/>
        <v>0.005152913934168673</v>
      </c>
      <c r="I34" s="3">
        <f t="shared" si="5"/>
        <v>0.7794640439406675</v>
      </c>
      <c r="J34" s="4">
        <f t="shared" si="6"/>
        <v>-1.4786429422895961</v>
      </c>
      <c r="K34" s="5">
        <f t="shared" si="4"/>
        <v>9.182496521258535</v>
      </c>
    </row>
    <row r="35" spans="1:11" ht="12.75">
      <c r="A35" s="14" t="s">
        <v>41</v>
      </c>
      <c r="B35" s="79">
        <v>35.074</v>
      </c>
      <c r="C35" s="79">
        <v>-84.128</v>
      </c>
      <c r="D35" s="15">
        <v>3.03397</v>
      </c>
      <c r="E35" s="19">
        <f t="shared" si="0"/>
        <v>0.0303397</v>
      </c>
      <c r="F35" s="12">
        <f t="shared" si="1"/>
        <v>0.29732906000000003</v>
      </c>
      <c r="G35" s="12">
        <f t="shared" si="2"/>
        <v>0.028721077005</v>
      </c>
      <c r="H35" s="15">
        <f t="shared" si="3"/>
        <v>0.01664620870211219</v>
      </c>
      <c r="I35" s="3">
        <f t="shared" si="5"/>
        <v>0.6121567818444912</v>
      </c>
      <c r="J35" s="4">
        <f t="shared" si="6"/>
        <v>-1.4683105931177896</v>
      </c>
      <c r="K35" s="5">
        <f t="shared" si="4"/>
        <v>9.412301915639494</v>
      </c>
    </row>
    <row r="36" spans="1:11" ht="12.75">
      <c r="A36" s="14" t="s">
        <v>6</v>
      </c>
      <c r="B36" s="79">
        <v>39.172</v>
      </c>
      <c r="C36" s="79">
        <v>-86.522</v>
      </c>
      <c r="D36" s="15">
        <v>2.56657</v>
      </c>
      <c r="E36" s="19">
        <f t="shared" si="0"/>
        <v>0.0256657</v>
      </c>
      <c r="F36" s="12">
        <f t="shared" si="1"/>
        <v>0.25152386</v>
      </c>
      <c r="G36" s="12">
        <f t="shared" si="2"/>
        <v>0.024296434905</v>
      </c>
      <c r="H36" s="15">
        <f t="shared" si="3"/>
        <v>0.014081767409888722</v>
      </c>
      <c r="I36" s="3">
        <f t="shared" si="5"/>
        <v>0.6836803745912187</v>
      </c>
      <c r="J36" s="4">
        <f t="shared" si="6"/>
        <v>-1.5100937754105337</v>
      </c>
      <c r="K36" s="5">
        <f t="shared" si="4"/>
        <v>9.677727021875413</v>
      </c>
    </row>
    <row r="37" spans="1:11" ht="12.75">
      <c r="A37" s="14" t="s">
        <v>58</v>
      </c>
      <c r="B37" s="79">
        <v>38.229</v>
      </c>
      <c r="C37" s="79">
        <v>-86.294</v>
      </c>
      <c r="D37" s="15">
        <v>2.86383</v>
      </c>
      <c r="E37" s="19">
        <f t="shared" si="0"/>
        <v>0.028638300000000002</v>
      </c>
      <c r="F37" s="12">
        <f t="shared" si="1"/>
        <v>0.28065534000000003</v>
      </c>
      <c r="G37" s="12">
        <f t="shared" si="2"/>
        <v>0.027110446695000002</v>
      </c>
      <c r="H37" s="15">
        <f t="shared" si="3"/>
        <v>0.015712716957441888</v>
      </c>
      <c r="I37" s="3">
        <f t="shared" si="5"/>
        <v>0.6672219197449122</v>
      </c>
      <c r="J37" s="4">
        <f t="shared" si="6"/>
        <v>-1.5061144247159866</v>
      </c>
      <c r="K37" s="5">
        <f t="shared" si="4"/>
        <v>9.693470680266833</v>
      </c>
    </row>
    <row r="38" spans="1:11" ht="12.75">
      <c r="A38" s="14" t="s">
        <v>20</v>
      </c>
      <c r="B38" s="79">
        <v>33.411</v>
      </c>
      <c r="C38" s="79">
        <v>-83.467</v>
      </c>
      <c r="D38" s="15">
        <v>2.42266</v>
      </c>
      <c r="E38" s="19">
        <f t="shared" si="0"/>
        <v>0.0242266</v>
      </c>
      <c r="F38" s="12">
        <f t="shared" si="1"/>
        <v>0.23742068000000002</v>
      </c>
      <c r="G38" s="12">
        <f t="shared" si="2"/>
        <v>0.02293411089</v>
      </c>
      <c r="H38" s="15">
        <f t="shared" si="3"/>
        <v>0.01329218943307255</v>
      </c>
      <c r="I38" s="3">
        <f t="shared" si="5"/>
        <v>0.5831319563838254</v>
      </c>
      <c r="J38" s="4">
        <f t="shared" si="6"/>
        <v>-1.4567739667621071</v>
      </c>
      <c r="K38" s="5">
        <f t="shared" si="4"/>
        <v>10.040149467001482</v>
      </c>
    </row>
    <row r="39" spans="1:11" ht="12.75">
      <c r="A39" s="14" t="s">
        <v>63</v>
      </c>
      <c r="B39" s="79">
        <v>36.13</v>
      </c>
      <c r="C39" s="79">
        <v>-87.83</v>
      </c>
      <c r="D39" s="15">
        <v>3.81532</v>
      </c>
      <c r="E39" s="19">
        <f t="shared" si="0"/>
        <v>0.0381532</v>
      </c>
      <c r="F39" s="12">
        <f t="shared" si="1"/>
        <v>0.37390136</v>
      </c>
      <c r="G39" s="12">
        <f t="shared" si="2"/>
        <v>0.03611772678</v>
      </c>
      <c r="H39" s="15">
        <f t="shared" si="3"/>
        <v>0.02093317105486959</v>
      </c>
      <c r="I39" s="3">
        <f t="shared" si="5"/>
        <v>0.6305874587455513</v>
      </c>
      <c r="J39" s="4">
        <f t="shared" si="6"/>
        <v>-1.5329226820266197</v>
      </c>
      <c r="K39" s="5">
        <f t="shared" si="4"/>
        <v>11.540766086450436</v>
      </c>
    </row>
    <row r="40" spans="1:11" ht="12.75">
      <c r="A40" s="14" t="s">
        <v>49</v>
      </c>
      <c r="B40" s="79">
        <v>34.982</v>
      </c>
      <c r="C40" s="79">
        <v>-88.076</v>
      </c>
      <c r="D40" s="15">
        <v>3.18907</v>
      </c>
      <c r="E40" s="19">
        <f t="shared" si="0"/>
        <v>0.0318907</v>
      </c>
      <c r="F40" s="12">
        <f t="shared" si="1"/>
        <v>0.31252886</v>
      </c>
      <c r="G40" s="12">
        <f t="shared" si="2"/>
        <v>0.030189331155000002</v>
      </c>
      <c r="H40" s="15">
        <f t="shared" si="3"/>
        <v>0.017497181839518823</v>
      </c>
      <c r="I40" s="3">
        <f t="shared" si="5"/>
        <v>0.6105510789326564</v>
      </c>
      <c r="J40" s="4">
        <f t="shared" si="6"/>
        <v>-1.5372161919865255</v>
      </c>
      <c r="K40" s="5">
        <f t="shared" si="4"/>
        <v>12.225542714667771</v>
      </c>
    </row>
    <row r="41" spans="1:11" ht="12.75">
      <c r="A41" s="14" t="s">
        <v>29</v>
      </c>
      <c r="B41" s="79">
        <v>42.914</v>
      </c>
      <c r="C41" s="79">
        <v>-90.248</v>
      </c>
      <c r="D41" s="15">
        <v>1.11271</v>
      </c>
      <c r="E41" s="19">
        <f t="shared" si="0"/>
        <v>0.011127100000000001</v>
      </c>
      <c r="F41" s="12">
        <f t="shared" si="1"/>
        <v>0.10904558000000002</v>
      </c>
      <c r="G41" s="12">
        <f t="shared" si="2"/>
        <v>0.010533469215</v>
      </c>
      <c r="H41" s="15">
        <f t="shared" si="3"/>
        <v>0.0061050052851304585</v>
      </c>
      <c r="I41" s="3">
        <f t="shared" si="5"/>
        <v>0.7489905952008465</v>
      </c>
      <c r="J41" s="4">
        <f t="shared" si="6"/>
        <v>-1.5751247433398425</v>
      </c>
      <c r="K41" s="5">
        <f t="shared" si="4"/>
        <v>12.499182394593134</v>
      </c>
    </row>
    <row r="42" spans="1:11" ht="12.75">
      <c r="A42" s="14" t="s">
        <v>33</v>
      </c>
      <c r="B42" s="79">
        <v>33.035</v>
      </c>
      <c r="C42" s="79">
        <v>-86.998</v>
      </c>
      <c r="D42" s="15">
        <v>2.22412</v>
      </c>
      <c r="E42" s="19">
        <f t="shared" si="0"/>
        <v>0.022241200000000003</v>
      </c>
      <c r="F42" s="12">
        <f t="shared" si="1"/>
        <v>0.21796376000000003</v>
      </c>
      <c r="G42" s="12">
        <f t="shared" si="2"/>
        <v>0.021054631980000002</v>
      </c>
      <c r="H42" s="15">
        <f t="shared" si="3"/>
        <v>0.012202877977877755</v>
      </c>
      <c r="I42" s="3">
        <f t="shared" si="5"/>
        <v>0.5765695183963266</v>
      </c>
      <c r="J42" s="4">
        <f t="shared" si="6"/>
        <v>-1.5184015426500268</v>
      </c>
      <c r="K42" s="5">
        <f t="shared" si="4"/>
        <v>12.534419324291546</v>
      </c>
    </row>
    <row r="43" spans="1:11" ht="12.75">
      <c r="A43" s="14" t="s">
        <v>53</v>
      </c>
      <c r="B43" s="79">
        <v>38.636</v>
      </c>
      <c r="C43" s="79">
        <v>-90.236</v>
      </c>
      <c r="D43" s="15">
        <v>3.59033</v>
      </c>
      <c r="E43" s="19">
        <f t="shared" si="0"/>
        <v>0.0359033</v>
      </c>
      <c r="F43" s="12">
        <f t="shared" si="1"/>
        <v>0.35185234000000004</v>
      </c>
      <c r="G43" s="12">
        <f t="shared" si="2"/>
        <v>0.033987858945</v>
      </c>
      <c r="H43" s="15">
        <f t="shared" si="3"/>
        <v>0.019698738777725048</v>
      </c>
      <c r="I43" s="3">
        <f t="shared" si="5"/>
        <v>0.6743254098005291</v>
      </c>
      <c r="J43" s="4">
        <f t="shared" si="6"/>
        <v>-1.5749153038296033</v>
      </c>
      <c r="K43" s="5">
        <f t="shared" si="4"/>
        <v>12.616942944421693</v>
      </c>
    </row>
    <row r="44" spans="1:11" ht="12.75">
      <c r="A44" s="14" t="s">
        <v>67</v>
      </c>
      <c r="B44" s="79">
        <v>46.06</v>
      </c>
      <c r="C44" s="79">
        <v>-89.26</v>
      </c>
      <c r="D44" s="15">
        <v>0.589685</v>
      </c>
      <c r="E44" s="19">
        <f t="shared" si="0"/>
        <v>0.00589685</v>
      </c>
      <c r="F44" s="12">
        <f t="shared" si="1"/>
        <v>0.05778913000000001</v>
      </c>
      <c r="G44" s="12">
        <f t="shared" si="2"/>
        <v>0.005582253052500001</v>
      </c>
      <c r="H44" s="15">
        <f t="shared" si="3"/>
        <v>0.003235371338050484</v>
      </c>
      <c r="I44" s="3">
        <f t="shared" si="5"/>
        <v>0.8038986534685881</v>
      </c>
      <c r="J44" s="4">
        <f t="shared" si="6"/>
        <v>-1.5578808903301387</v>
      </c>
      <c r="K44" s="5">
        <f t="shared" si="4"/>
        <v>12.66471139583735</v>
      </c>
    </row>
    <row r="45" spans="1:11" ht="12.75">
      <c r="A45" s="14" t="s">
        <v>17</v>
      </c>
      <c r="B45" s="79">
        <v>28.11</v>
      </c>
      <c r="C45" s="79">
        <v>-81.433</v>
      </c>
      <c r="D45" s="15">
        <v>0.653747</v>
      </c>
      <c r="E45" s="19">
        <f t="shared" si="0"/>
        <v>0.00653747</v>
      </c>
      <c r="F45" s="12">
        <f t="shared" si="1"/>
        <v>0.064067206</v>
      </c>
      <c r="G45" s="12">
        <f t="shared" si="2"/>
        <v>0.0061886959755</v>
      </c>
      <c r="H45" s="15">
        <f t="shared" si="3"/>
        <v>0.003586854517473719</v>
      </c>
      <c r="I45" s="3">
        <f t="shared" si="5"/>
        <v>0.49061205273560604</v>
      </c>
      <c r="J45" s="4">
        <f t="shared" si="6"/>
        <v>-1.4212739697765426</v>
      </c>
      <c r="K45" s="5">
        <f t="shared" si="4"/>
        <v>13.37744028224148</v>
      </c>
    </row>
    <row r="46" spans="1:11" ht="12.75">
      <c r="A46" s="14" t="s">
        <v>46</v>
      </c>
      <c r="B46" s="79">
        <v>34.512</v>
      </c>
      <c r="C46" s="79">
        <v>-89.409</v>
      </c>
      <c r="D46" s="15">
        <v>3.18092</v>
      </c>
      <c r="E46" s="19">
        <f t="shared" si="0"/>
        <v>0.0318092</v>
      </c>
      <c r="F46" s="12">
        <f t="shared" si="1"/>
        <v>0.31173016000000003</v>
      </c>
      <c r="G46" s="12">
        <f t="shared" si="2"/>
        <v>0.030112179180000004</v>
      </c>
      <c r="H46" s="15">
        <f t="shared" si="3"/>
        <v>0.017452465971885916</v>
      </c>
      <c r="I46" s="3">
        <f t="shared" si="5"/>
        <v>0.6023480314482831</v>
      </c>
      <c r="J46" s="4">
        <f t="shared" si="6"/>
        <v>-1.56048143091561</v>
      </c>
      <c r="K46" s="5">
        <f t="shared" si="4"/>
        <v>13.412330040684937</v>
      </c>
    </row>
    <row r="47" spans="1:11" ht="12.75">
      <c r="A47" s="14" t="s">
        <v>12</v>
      </c>
      <c r="B47" s="79">
        <v>38.056</v>
      </c>
      <c r="C47" s="79">
        <v>-91.245</v>
      </c>
      <c r="D47" s="15">
        <v>3.16396</v>
      </c>
      <c r="E47" s="19">
        <f t="shared" si="0"/>
        <v>0.0316396</v>
      </c>
      <c r="F47" s="12">
        <f t="shared" si="1"/>
        <v>0.31006807999999997</v>
      </c>
      <c r="G47" s="12">
        <f t="shared" si="2"/>
        <v>0.02995162734</v>
      </c>
      <c r="H47" s="15">
        <f t="shared" si="3"/>
        <v>0.017359413074333262</v>
      </c>
      <c r="I47" s="3">
        <f t="shared" si="5"/>
        <v>0.664202500138962</v>
      </c>
      <c r="J47" s="4">
        <f t="shared" si="6"/>
        <v>-1.592525675982226</v>
      </c>
      <c r="K47" s="5">
        <f t="shared" si="4"/>
        <v>13.515055008158008</v>
      </c>
    </row>
    <row r="48" spans="1:11" ht="12.75">
      <c r="A48" s="14" t="s">
        <v>74</v>
      </c>
      <c r="B48" s="79">
        <v>31.02</v>
      </c>
      <c r="C48" s="79">
        <v>-87.49</v>
      </c>
      <c r="D48" s="15">
        <v>1.47943</v>
      </c>
      <c r="E48" s="19">
        <f aca="true" t="shared" si="7" ref="E48:E79">$D48/100</f>
        <v>0.0147943</v>
      </c>
      <c r="F48" s="12">
        <f aca="true" t="shared" si="8" ref="F48:F79">$E48*$B$4</f>
        <v>0.14498414</v>
      </c>
      <c r="G48" s="12">
        <f aca="true" t="shared" si="9" ref="G48:G79">$E48*$B$5</f>
        <v>0.014005024095</v>
      </c>
      <c r="H48" s="15">
        <f aca="true" t="shared" si="10" ref="H48:H79">$E48*$B$9</f>
        <v>0.008117054730325559</v>
      </c>
      <c r="I48" s="3">
        <f t="shared" si="5"/>
        <v>0.541401133968641</v>
      </c>
      <c r="J48" s="4">
        <f t="shared" si="6"/>
        <v>-1.5269885625698387</v>
      </c>
      <c r="K48" s="5">
        <f t="shared" si="4"/>
        <v>14.156634025398034</v>
      </c>
    </row>
    <row r="49" spans="1:11" ht="12.75">
      <c r="A49" s="14" t="s">
        <v>70</v>
      </c>
      <c r="B49" s="79">
        <v>42.02</v>
      </c>
      <c r="C49" s="79">
        <v>-93.16</v>
      </c>
      <c r="D49" s="15">
        <v>1.1043</v>
      </c>
      <c r="E49" s="19">
        <f t="shared" si="7"/>
        <v>0.011043</v>
      </c>
      <c r="F49" s="12">
        <f t="shared" si="8"/>
        <v>0.10822140000000001</v>
      </c>
      <c r="G49" s="12">
        <f t="shared" si="9"/>
        <v>0.01045385595</v>
      </c>
      <c r="H49" s="15">
        <f t="shared" si="10"/>
        <v>0.0060588628990209175</v>
      </c>
      <c r="I49" s="3">
        <f t="shared" si="5"/>
        <v>0.7333873516880173</v>
      </c>
      <c r="J49" s="4">
        <f t="shared" si="6"/>
        <v>-1.6259487311579173</v>
      </c>
      <c r="K49" s="5">
        <f aca="true" t="shared" si="11" ref="K49:K80">(ACOS(SIN($I$16)*SIN($I49)+COS($I$16)*COS($I49)*COS($J49-$J$16)))*180/PI()</f>
        <v>14.567148464365122</v>
      </c>
    </row>
    <row r="50" spans="1:11" ht="12.75">
      <c r="A50" s="14" t="s">
        <v>19</v>
      </c>
      <c r="B50" s="79">
        <v>47.946</v>
      </c>
      <c r="C50" s="79">
        <v>-91.495</v>
      </c>
      <c r="D50" s="15">
        <v>0.310897</v>
      </c>
      <c r="E50" s="19">
        <f t="shared" si="7"/>
        <v>0.00310897</v>
      </c>
      <c r="F50" s="12">
        <f t="shared" si="8"/>
        <v>0.030467906000000003</v>
      </c>
      <c r="G50" s="12">
        <f t="shared" si="9"/>
        <v>0.0029431064504999997</v>
      </c>
      <c r="H50" s="15">
        <f t="shared" si="10"/>
        <v>0.0017057704416525456</v>
      </c>
      <c r="I50" s="3">
        <f t="shared" si="5"/>
        <v>0.8368155631612012</v>
      </c>
      <c r="J50" s="4">
        <f t="shared" si="6"/>
        <v>-1.596888999112212</v>
      </c>
      <c r="K50" s="5">
        <f t="shared" si="11"/>
        <v>14.835820814607118</v>
      </c>
    </row>
    <row r="51" spans="1:11" ht="12.75">
      <c r="A51" s="14" t="s">
        <v>79</v>
      </c>
      <c r="B51" s="79">
        <v>46.36</v>
      </c>
      <c r="C51" s="79">
        <v>-94.2</v>
      </c>
      <c r="D51" s="15">
        <v>0.442334</v>
      </c>
      <c r="E51" s="19">
        <f t="shared" si="7"/>
        <v>0.00442334</v>
      </c>
      <c r="F51" s="12">
        <f t="shared" si="8"/>
        <v>0.04334873200000001</v>
      </c>
      <c r="G51" s="12">
        <f t="shared" si="9"/>
        <v>0.0041873548110000006</v>
      </c>
      <c r="H51" s="15">
        <f t="shared" si="10"/>
        <v>0.0024269139378570305</v>
      </c>
      <c r="I51" s="3">
        <f t="shared" si="5"/>
        <v>0.8091346412245711</v>
      </c>
      <c r="J51" s="4">
        <f t="shared" si="6"/>
        <v>-1.6441001553786583</v>
      </c>
      <c r="K51" s="5">
        <f t="shared" si="11"/>
        <v>15.986039951651792</v>
      </c>
    </row>
    <row r="52" spans="1:11" ht="12.75">
      <c r="A52" s="14" t="s">
        <v>37</v>
      </c>
      <c r="B52" s="79">
        <v>34.546</v>
      </c>
      <c r="C52" s="79">
        <v>-93.573</v>
      </c>
      <c r="D52" s="15">
        <v>2.09685</v>
      </c>
      <c r="E52" s="19">
        <f t="shared" si="7"/>
        <v>0.020968499999999998</v>
      </c>
      <c r="F52" s="12">
        <f t="shared" si="8"/>
        <v>0.2054913</v>
      </c>
      <c r="G52" s="12">
        <f t="shared" si="9"/>
        <v>0.019849830524999997</v>
      </c>
      <c r="H52" s="15">
        <f t="shared" si="10"/>
        <v>0.011504597183566069</v>
      </c>
      <c r="I52" s="3">
        <f t="shared" si="5"/>
        <v>0.602941443393961</v>
      </c>
      <c r="J52" s="4">
        <f t="shared" si="6"/>
        <v>-1.633156940968654</v>
      </c>
      <c r="K52" s="5">
        <f t="shared" si="11"/>
        <v>16.46105414984984</v>
      </c>
    </row>
    <row r="53" spans="1:11" ht="12.75">
      <c r="A53" s="14" t="s">
        <v>66</v>
      </c>
      <c r="B53" s="79">
        <v>48.22</v>
      </c>
      <c r="C53" s="79">
        <v>-96.41</v>
      </c>
      <c r="D53" s="15">
        <v>0.356017</v>
      </c>
      <c r="E53" s="19">
        <f t="shared" si="7"/>
        <v>0.0035601699999999997</v>
      </c>
      <c r="F53" s="12">
        <f t="shared" si="8"/>
        <v>0.034889666</v>
      </c>
      <c r="G53" s="12">
        <f t="shared" si="9"/>
        <v>0.0033702349304999997</v>
      </c>
      <c r="H53" s="15">
        <f t="shared" si="10"/>
        <v>0.001953326263443566</v>
      </c>
      <c r="I53" s="3">
        <f t="shared" si="5"/>
        <v>0.8415977653116657</v>
      </c>
      <c r="J53" s="4">
        <f t="shared" si="6"/>
        <v>-1.682671931847733</v>
      </c>
      <c r="K53" s="5">
        <f t="shared" si="11"/>
        <v>17.9768733031462</v>
      </c>
    </row>
    <row r="54" spans="1:11" ht="12.75">
      <c r="A54" s="14" t="s">
        <v>84</v>
      </c>
      <c r="B54" s="79">
        <v>37.03</v>
      </c>
      <c r="C54" s="79">
        <v>-97.61</v>
      </c>
      <c r="D54" s="15">
        <v>1.4066</v>
      </c>
      <c r="E54" s="19">
        <f t="shared" si="7"/>
        <v>0.014066</v>
      </c>
      <c r="F54" s="12">
        <f t="shared" si="8"/>
        <v>0.13784680000000002</v>
      </c>
      <c r="G54" s="12">
        <f t="shared" si="9"/>
        <v>0.0133155789</v>
      </c>
      <c r="H54" s="15">
        <f t="shared" si="10"/>
        <v>0.007717464958582652</v>
      </c>
      <c r="I54" s="3">
        <f t="shared" si="5"/>
        <v>0.6462954220135002</v>
      </c>
      <c r="J54" s="4">
        <f t="shared" si="6"/>
        <v>-1.7036158828716652</v>
      </c>
      <c r="K54" s="5">
        <f t="shared" si="11"/>
        <v>18.654284884095862</v>
      </c>
    </row>
    <row r="55" spans="1:11" ht="12.75">
      <c r="A55" s="14" t="s">
        <v>76</v>
      </c>
      <c r="B55" s="79">
        <v>45.06</v>
      </c>
      <c r="C55" s="79">
        <v>-99.51</v>
      </c>
      <c r="D55" s="15">
        <v>0.750744</v>
      </c>
      <c r="E55" s="19">
        <f t="shared" si="7"/>
        <v>0.00750744</v>
      </c>
      <c r="F55" s="12">
        <f t="shared" si="8"/>
        <v>0.073572912</v>
      </c>
      <c r="G55" s="12">
        <f t="shared" si="9"/>
        <v>0.007106918076</v>
      </c>
      <c r="H55" s="15">
        <f t="shared" si="10"/>
        <v>0.004119039181619632</v>
      </c>
      <c r="I55" s="3">
        <f t="shared" si="5"/>
        <v>0.7864453609486449</v>
      </c>
      <c r="J55" s="4">
        <f t="shared" si="6"/>
        <v>-1.7367771386595574</v>
      </c>
      <c r="K55" s="5">
        <f t="shared" si="11"/>
        <v>19.37795906441356</v>
      </c>
    </row>
    <row r="56" spans="1:11" ht="12.75">
      <c r="A56" s="14" t="s">
        <v>10</v>
      </c>
      <c r="B56" s="79">
        <v>38.814</v>
      </c>
      <c r="C56" s="79">
        <v>-99.737</v>
      </c>
      <c r="D56" s="15">
        <v>1.14535</v>
      </c>
      <c r="E56" s="19">
        <f t="shared" si="7"/>
        <v>0.0114535</v>
      </c>
      <c r="F56" s="12">
        <f t="shared" si="8"/>
        <v>0.1122443</v>
      </c>
      <c r="G56" s="12">
        <f t="shared" si="9"/>
        <v>0.010842455775</v>
      </c>
      <c r="H56" s="15">
        <f t="shared" si="10"/>
        <v>0.0062840882200431115</v>
      </c>
      <c r="I56" s="3">
        <f t="shared" si="5"/>
        <v>0.677432095869079</v>
      </c>
      <c r="J56" s="4">
        <f t="shared" si="6"/>
        <v>-1.7407390360615844</v>
      </c>
      <c r="K56" s="5">
        <f t="shared" si="11"/>
        <v>19.852102536423246</v>
      </c>
    </row>
    <row r="57" spans="1:11" ht="12.75">
      <c r="A57" s="14" t="s">
        <v>60</v>
      </c>
      <c r="B57" s="79">
        <v>34.738</v>
      </c>
      <c r="C57" s="79">
        <v>-98.781</v>
      </c>
      <c r="D57" s="15">
        <v>1.34282</v>
      </c>
      <c r="E57" s="19">
        <f t="shared" si="7"/>
        <v>0.0134282</v>
      </c>
      <c r="F57" s="12">
        <f t="shared" si="8"/>
        <v>0.13159636</v>
      </c>
      <c r="G57" s="12">
        <f t="shared" si="9"/>
        <v>0.01271180553</v>
      </c>
      <c r="H57" s="15">
        <f t="shared" si="10"/>
        <v>0.007367529003045611</v>
      </c>
      <c r="I57" s="3">
        <f t="shared" si="5"/>
        <v>0.6062924755577902</v>
      </c>
      <c r="J57" s="4">
        <f t="shared" si="6"/>
        <v>-1.7240536884125188</v>
      </c>
      <c r="K57" s="5">
        <f t="shared" si="11"/>
        <v>20.311658966101895</v>
      </c>
    </row>
    <row r="58" spans="1:11" ht="12.75">
      <c r="A58" s="14" t="s">
        <v>77</v>
      </c>
      <c r="B58" s="79">
        <v>47.88</v>
      </c>
      <c r="C58" s="79">
        <v>-100.24</v>
      </c>
      <c r="D58" s="15">
        <v>0.509268</v>
      </c>
      <c r="E58" s="19">
        <f t="shared" si="7"/>
        <v>0.0050926800000000005</v>
      </c>
      <c r="F58" s="12">
        <f t="shared" si="8"/>
        <v>0.04990826400000001</v>
      </c>
      <c r="G58" s="12">
        <f t="shared" si="9"/>
        <v>0.004820985522</v>
      </c>
      <c r="H58" s="15">
        <f t="shared" si="10"/>
        <v>0.0027941546598375306</v>
      </c>
      <c r="I58" s="3">
        <f t="shared" si="5"/>
        <v>0.8356636458548851</v>
      </c>
      <c r="J58" s="4">
        <f t="shared" si="6"/>
        <v>-1.7495180421991159</v>
      </c>
      <c r="K58" s="5">
        <f t="shared" si="11"/>
        <v>20.34554915907795</v>
      </c>
    </row>
    <row r="59" spans="1:11" ht="12.75">
      <c r="A59" s="14" t="s">
        <v>22</v>
      </c>
      <c r="B59" s="79">
        <v>29.95</v>
      </c>
      <c r="C59" s="79">
        <v>-95.833</v>
      </c>
      <c r="D59" s="15">
        <v>0.816093</v>
      </c>
      <c r="E59" s="19">
        <f t="shared" si="7"/>
        <v>0.00816093</v>
      </c>
      <c r="F59" s="12">
        <f t="shared" si="8"/>
        <v>0.079977114</v>
      </c>
      <c r="G59" s="12">
        <f t="shared" si="9"/>
        <v>0.0077255443845</v>
      </c>
      <c r="H59" s="15">
        <f t="shared" si="10"/>
        <v>0.004477583627502198</v>
      </c>
      <c r="I59" s="3">
        <f t="shared" si="5"/>
        <v>0.5227261109723017</v>
      </c>
      <c r="J59" s="4">
        <f t="shared" si="6"/>
        <v>-1.6726013820637258</v>
      </c>
      <c r="K59" s="5">
        <f t="shared" si="11"/>
        <v>20.43869218104522</v>
      </c>
    </row>
    <row r="60" spans="1:11" ht="12.75">
      <c r="A60" s="14" t="s">
        <v>69</v>
      </c>
      <c r="B60" s="79">
        <v>41.13</v>
      </c>
      <c r="C60" s="79">
        <v>-101.72</v>
      </c>
      <c r="D60" s="15">
        <v>1.01373</v>
      </c>
      <c r="E60" s="19">
        <f t="shared" si="7"/>
        <v>0.0101373</v>
      </c>
      <c r="F60" s="12">
        <f t="shared" si="8"/>
        <v>0.09934554000000001</v>
      </c>
      <c r="G60" s="12">
        <f t="shared" si="9"/>
        <v>0.009596475045</v>
      </c>
      <c r="H60" s="15">
        <f t="shared" si="10"/>
        <v>0.0055619406742954585</v>
      </c>
      <c r="I60" s="3">
        <f t="shared" si="5"/>
        <v>0.7178539213452677</v>
      </c>
      <c r="J60" s="4">
        <f t="shared" si="6"/>
        <v>-1.775348915128632</v>
      </c>
      <c r="K60" s="5">
        <f t="shared" si="11"/>
        <v>20.99941736732446</v>
      </c>
    </row>
    <row r="61" spans="1:11" ht="12.75">
      <c r="A61" s="14" t="s">
        <v>81</v>
      </c>
      <c r="B61" s="79">
        <v>38.76</v>
      </c>
      <c r="C61" s="79">
        <v>-102.79</v>
      </c>
      <c r="D61" s="15">
        <v>1.05492</v>
      </c>
      <c r="E61" s="19">
        <f t="shared" si="7"/>
        <v>0.010549200000000002</v>
      </c>
      <c r="F61" s="12">
        <f t="shared" si="8"/>
        <v>0.10338216000000003</v>
      </c>
      <c r="G61" s="12">
        <f t="shared" si="9"/>
        <v>0.009986400180000002</v>
      </c>
      <c r="H61" s="15">
        <f t="shared" si="10"/>
        <v>0.005787934120651224</v>
      </c>
      <c r="I61" s="3">
        <f t="shared" si="5"/>
        <v>0.6764896180730021</v>
      </c>
      <c r="J61" s="4">
        <f t="shared" si="6"/>
        <v>-1.7940239381249714</v>
      </c>
      <c r="K61" s="5">
        <f t="shared" si="11"/>
        <v>22.191176264680035</v>
      </c>
    </row>
    <row r="62" spans="1:11" ht="12.75">
      <c r="A62" s="14" t="s">
        <v>78</v>
      </c>
      <c r="B62" s="79">
        <v>35.18</v>
      </c>
      <c r="C62" s="79">
        <v>-101.87</v>
      </c>
      <c r="D62" s="15">
        <v>0.955765</v>
      </c>
      <c r="E62" s="19">
        <f t="shared" si="7"/>
        <v>0.009557649999999999</v>
      </c>
      <c r="F62" s="12">
        <f t="shared" si="8"/>
        <v>0.09366497</v>
      </c>
      <c r="G62" s="12">
        <f t="shared" si="9"/>
        <v>0.009047749372499999</v>
      </c>
      <c r="H62" s="15">
        <f t="shared" si="10"/>
        <v>0.005243909353149259</v>
      </c>
      <c r="I62" s="3">
        <f t="shared" si="5"/>
        <v>0.6140068308516051</v>
      </c>
      <c r="J62" s="4">
        <f t="shared" si="6"/>
        <v>-1.7779669090066235</v>
      </c>
      <c r="K62" s="5">
        <f t="shared" si="11"/>
        <v>22.505939269600212</v>
      </c>
    </row>
    <row r="63" spans="1:11" ht="12.75">
      <c r="A63" s="14" t="s">
        <v>50</v>
      </c>
      <c r="B63" s="79">
        <v>44.12</v>
      </c>
      <c r="C63" s="79">
        <v>-104.036</v>
      </c>
      <c r="D63" s="15">
        <v>1.24757</v>
      </c>
      <c r="E63" s="19">
        <f t="shared" si="7"/>
        <v>0.012475700000000001</v>
      </c>
      <c r="F63" s="12">
        <f t="shared" si="8"/>
        <v>0.12226186000000001</v>
      </c>
      <c r="G63" s="12">
        <f t="shared" si="9"/>
        <v>0.011810121405</v>
      </c>
      <c r="H63" s="15">
        <f t="shared" si="10"/>
        <v>0.006844929445740765</v>
      </c>
      <c r="I63" s="3">
        <f t="shared" si="5"/>
        <v>0.7700392659798982</v>
      </c>
      <c r="J63" s="4">
        <f t="shared" si="6"/>
        <v>-1.815770740604821</v>
      </c>
      <c r="K63" s="5">
        <f t="shared" si="11"/>
        <v>22.54686873607908</v>
      </c>
    </row>
    <row r="64" spans="1:11" ht="12.75">
      <c r="A64" s="14" t="s">
        <v>28</v>
      </c>
      <c r="B64" s="79">
        <v>30.479</v>
      </c>
      <c r="C64" s="79">
        <v>-99.802</v>
      </c>
      <c r="D64" s="15">
        <v>0.503462</v>
      </c>
      <c r="E64" s="19">
        <f t="shared" si="7"/>
        <v>0.00503462</v>
      </c>
      <c r="F64" s="12">
        <f t="shared" si="8"/>
        <v>0.049339276</v>
      </c>
      <c r="G64" s="12">
        <f t="shared" si="9"/>
        <v>0.004766023023</v>
      </c>
      <c r="H64" s="15">
        <f t="shared" si="10"/>
        <v>0.002762299404932418</v>
      </c>
      <c r="I64" s="3">
        <f t="shared" si="5"/>
        <v>0.5319589027153516</v>
      </c>
      <c r="J64" s="4">
        <f t="shared" si="6"/>
        <v>-1.7418735000753809</v>
      </c>
      <c r="K64" s="5">
        <f t="shared" si="11"/>
        <v>23.014404465433866</v>
      </c>
    </row>
    <row r="65" spans="1:11" ht="12.75">
      <c r="A65" s="14" t="s">
        <v>65</v>
      </c>
      <c r="B65" s="79">
        <v>48.58</v>
      </c>
      <c r="C65" s="79">
        <v>-104.2</v>
      </c>
      <c r="D65" s="15">
        <v>0.691208</v>
      </c>
      <c r="E65" s="19">
        <f t="shared" si="7"/>
        <v>0.00691208</v>
      </c>
      <c r="F65" s="12">
        <f t="shared" si="8"/>
        <v>0.06773838400000001</v>
      </c>
      <c r="G65" s="12">
        <f t="shared" si="9"/>
        <v>0.006543320532</v>
      </c>
      <c r="H65" s="15">
        <f t="shared" si="10"/>
        <v>0.0037923883969088567</v>
      </c>
      <c r="I65" s="3">
        <f t="shared" si="5"/>
        <v>0.8478809506188453</v>
      </c>
      <c r="J65" s="4">
        <f t="shared" si="6"/>
        <v>-1.8186330805780915</v>
      </c>
      <c r="K65" s="5">
        <f t="shared" si="11"/>
        <v>23.070454498882082</v>
      </c>
    </row>
    <row r="66" spans="1:11" ht="12.75">
      <c r="A66" s="14" t="s">
        <v>75</v>
      </c>
      <c r="B66" s="79">
        <v>27.17</v>
      </c>
      <c r="C66" s="79">
        <v>-98.12</v>
      </c>
      <c r="D66" s="15">
        <v>0.288432</v>
      </c>
      <c r="E66" s="19">
        <f t="shared" si="7"/>
        <v>0.00288432</v>
      </c>
      <c r="F66" s="12">
        <f t="shared" si="8"/>
        <v>0.028266336000000003</v>
      </c>
      <c r="G66" s="12">
        <f t="shared" si="9"/>
        <v>0.002730441528</v>
      </c>
      <c r="H66" s="15">
        <f t="shared" si="10"/>
        <v>0.001582513758661959</v>
      </c>
      <c r="I66" s="3">
        <f t="shared" si="5"/>
        <v>0.47420595776685937</v>
      </c>
      <c r="J66" s="4">
        <f t="shared" si="6"/>
        <v>-1.7125170620568362</v>
      </c>
      <c r="K66" s="5">
        <f t="shared" si="11"/>
        <v>23.718727875026246</v>
      </c>
    </row>
    <row r="67" spans="1:11" ht="12.75">
      <c r="A67" s="14" t="s">
        <v>27</v>
      </c>
      <c r="B67" s="79">
        <v>39.8</v>
      </c>
      <c r="C67" s="79">
        <v>-105.613</v>
      </c>
      <c r="D67" s="15">
        <v>1.65414</v>
      </c>
      <c r="E67" s="19">
        <f t="shared" si="7"/>
        <v>0.016541399999999998</v>
      </c>
      <c r="F67" s="12">
        <f t="shared" si="8"/>
        <v>0.16210571999999998</v>
      </c>
      <c r="G67" s="12">
        <f t="shared" si="9"/>
        <v>0.015658916309999996</v>
      </c>
      <c r="H67" s="15">
        <f t="shared" si="10"/>
        <v>0.009075620280527446</v>
      </c>
      <c r="I67" s="3">
        <f t="shared" si="5"/>
        <v>0.6946410422937431</v>
      </c>
      <c r="J67" s="4">
        <f t="shared" si="6"/>
        <v>-1.843294582908771</v>
      </c>
      <c r="K67" s="5">
        <f t="shared" si="11"/>
        <v>24.124513343948294</v>
      </c>
    </row>
    <row r="68" spans="1:11" ht="12.75">
      <c r="A68" s="14" t="s">
        <v>52</v>
      </c>
      <c r="B68" s="79">
        <v>37.746</v>
      </c>
      <c r="C68" s="79">
        <v>-105.501</v>
      </c>
      <c r="D68" s="15">
        <v>2.56214</v>
      </c>
      <c r="E68" s="19">
        <f t="shared" si="7"/>
        <v>0.0256214</v>
      </c>
      <c r="F68" s="12">
        <f t="shared" si="8"/>
        <v>0.25108972</v>
      </c>
      <c r="G68" s="12">
        <f t="shared" si="9"/>
        <v>0.024254498309999997</v>
      </c>
      <c r="H68" s="15">
        <f t="shared" si="10"/>
        <v>0.014057461729690711</v>
      </c>
      <c r="I68" s="3">
        <f t="shared" si="5"/>
        <v>0.6587919794577797</v>
      </c>
      <c r="J68" s="4">
        <f t="shared" si="6"/>
        <v>-1.8413398141465378</v>
      </c>
      <c r="K68" s="5">
        <f t="shared" si="11"/>
        <v>24.500231171820968</v>
      </c>
    </row>
    <row r="69" spans="1:11" ht="12.75">
      <c r="A69" s="14" t="s">
        <v>80</v>
      </c>
      <c r="B69" s="79">
        <v>45.3</v>
      </c>
      <c r="C69" s="79">
        <v>-108.91</v>
      </c>
      <c r="D69" s="15">
        <v>3.24732</v>
      </c>
      <c r="E69" s="19">
        <f t="shared" si="7"/>
        <v>0.0324732</v>
      </c>
      <c r="F69" s="12">
        <f t="shared" si="8"/>
        <v>0.31823736</v>
      </c>
      <c r="G69" s="12">
        <f t="shared" si="9"/>
        <v>0.03074075478</v>
      </c>
      <c r="H69" s="15">
        <f t="shared" si="10"/>
        <v>0.017816776844379795</v>
      </c>
      <c r="I69" s="3">
        <f t="shared" si="5"/>
        <v>0.7906341511534313</v>
      </c>
      <c r="J69" s="4">
        <f t="shared" si="6"/>
        <v>-1.9008380883470242</v>
      </c>
      <c r="K69" s="5">
        <f t="shared" si="11"/>
        <v>26.004053380264466</v>
      </c>
    </row>
    <row r="70" spans="1:11" ht="12.75">
      <c r="A70" s="14" t="s">
        <v>3</v>
      </c>
      <c r="B70" s="79">
        <v>34.946</v>
      </c>
      <c r="C70" s="79">
        <v>-106.457</v>
      </c>
      <c r="D70" s="15">
        <v>4.49641</v>
      </c>
      <c r="E70" s="19">
        <f t="shared" si="7"/>
        <v>0.0449641</v>
      </c>
      <c r="F70" s="12">
        <f t="shared" si="8"/>
        <v>0.44064818000000006</v>
      </c>
      <c r="G70" s="12">
        <f t="shared" si="9"/>
        <v>0.042565265265</v>
      </c>
      <c r="H70" s="15">
        <f t="shared" si="10"/>
        <v>0.024670045936599334</v>
      </c>
      <c r="I70" s="3">
        <f t="shared" si="5"/>
        <v>0.6099227604019384</v>
      </c>
      <c r="J70" s="4">
        <f t="shared" si="6"/>
        <v>-1.8580251617956034</v>
      </c>
      <c r="K70" s="5">
        <f t="shared" si="11"/>
        <v>26.100021244293533</v>
      </c>
    </row>
    <row r="71" spans="1:11" ht="12.75">
      <c r="A71" s="14" t="s">
        <v>35</v>
      </c>
      <c r="B71" s="79">
        <v>29.334</v>
      </c>
      <c r="C71" s="79">
        <v>-103.667</v>
      </c>
      <c r="D71" s="15">
        <v>2.22241</v>
      </c>
      <c r="E71" s="19">
        <f t="shared" si="7"/>
        <v>0.0222241</v>
      </c>
      <c r="F71" s="12">
        <f t="shared" si="8"/>
        <v>0.21779618</v>
      </c>
      <c r="G71" s="12">
        <f t="shared" si="9"/>
        <v>0.021038444265</v>
      </c>
      <c r="H71" s="15">
        <f t="shared" si="10"/>
        <v>0.012193495875589131</v>
      </c>
      <c r="I71" s="3">
        <f t="shared" si="5"/>
        <v>0.5119748827800167</v>
      </c>
      <c r="J71" s="4">
        <f t="shared" si="6"/>
        <v>-1.8093304756649615</v>
      </c>
      <c r="K71" s="5">
        <f t="shared" si="11"/>
        <v>26.46810472617822</v>
      </c>
    </row>
    <row r="72" spans="1:11" ht="12.75">
      <c r="A72" s="14" t="s">
        <v>86</v>
      </c>
      <c r="B72" s="79">
        <v>31.697</v>
      </c>
      <c r="C72" s="79">
        <v>-105.382</v>
      </c>
      <c r="D72" s="15">
        <v>2.61308</v>
      </c>
      <c r="E72" s="19">
        <f t="shared" si="7"/>
        <v>0.0261308</v>
      </c>
      <c r="F72" s="12">
        <f t="shared" si="8"/>
        <v>0.25608184</v>
      </c>
      <c r="G72" s="12">
        <f t="shared" si="9"/>
        <v>0.024736721819999998</v>
      </c>
      <c r="H72" s="15">
        <f t="shared" si="10"/>
        <v>0.014336949618920201</v>
      </c>
      <c r="I72" s="3">
        <f t="shared" si="5"/>
        <v>0.5532170130046427</v>
      </c>
      <c r="J72" s="4">
        <f t="shared" si="6"/>
        <v>-1.8392628723366644</v>
      </c>
      <c r="K72" s="5">
        <f t="shared" si="11"/>
        <v>26.597701989037667</v>
      </c>
    </row>
    <row r="73" spans="1:11" ht="12.75">
      <c r="A73" s="14" t="s">
        <v>9</v>
      </c>
      <c r="B73" s="79">
        <v>42.778</v>
      </c>
      <c r="C73" s="79">
        <v>-109.556</v>
      </c>
      <c r="D73" s="15">
        <v>4.58671</v>
      </c>
      <c r="E73" s="19">
        <f t="shared" si="7"/>
        <v>0.0458671</v>
      </c>
      <c r="F73" s="12">
        <f t="shared" si="8"/>
        <v>0.44949758000000006</v>
      </c>
      <c r="G73" s="12">
        <f t="shared" si="9"/>
        <v>0.043420090215</v>
      </c>
      <c r="H73" s="15">
        <f t="shared" si="10"/>
        <v>0.025165486776752906</v>
      </c>
      <c r="I73" s="3">
        <f t="shared" si="5"/>
        <v>0.7466169474181342</v>
      </c>
      <c r="J73" s="4">
        <f t="shared" si="6"/>
        <v>-1.9121129153149077</v>
      </c>
      <c r="K73" s="5">
        <f t="shared" si="11"/>
        <v>26.621225469405477</v>
      </c>
    </row>
    <row r="74" spans="1:11" ht="12.75">
      <c r="A74" s="14" t="s">
        <v>64</v>
      </c>
      <c r="B74" s="79">
        <v>47.95</v>
      </c>
      <c r="C74" s="79">
        <v>-109.78</v>
      </c>
      <c r="D74" s="15">
        <v>1.12666</v>
      </c>
      <c r="E74" s="19">
        <f t="shared" si="7"/>
        <v>0.0112666</v>
      </c>
      <c r="F74" s="12">
        <f t="shared" si="8"/>
        <v>0.11041268000000001</v>
      </c>
      <c r="G74" s="12">
        <f t="shared" si="9"/>
        <v>0.01066552689</v>
      </c>
      <c r="H74" s="15">
        <f t="shared" si="10"/>
        <v>0.006181543488011325</v>
      </c>
      <c r="I74" s="3">
        <f t="shared" si="5"/>
        <v>0.836885376331281</v>
      </c>
      <c r="J74" s="4">
        <f t="shared" si="6"/>
        <v>-1.916022452839375</v>
      </c>
      <c r="K74" s="5">
        <f t="shared" si="11"/>
        <v>26.676648925671635</v>
      </c>
    </row>
    <row r="75" spans="1:11" ht="12.75">
      <c r="A75" s="14" t="s">
        <v>32</v>
      </c>
      <c r="B75" s="79">
        <v>44.565</v>
      </c>
      <c r="C75" s="79">
        <v>-110.4</v>
      </c>
      <c r="D75" s="15">
        <v>12.1561</v>
      </c>
      <c r="E75" s="19">
        <f t="shared" si="7"/>
        <v>0.121561</v>
      </c>
      <c r="F75" s="12">
        <f t="shared" si="8"/>
        <v>1.1912978</v>
      </c>
      <c r="G75" s="12">
        <f t="shared" si="9"/>
        <v>0.11507572065</v>
      </c>
      <c r="H75" s="15">
        <f t="shared" si="10"/>
        <v>0.06669577405305459</v>
      </c>
      <c r="I75" s="3">
        <f t="shared" si="5"/>
        <v>0.7778059811512729</v>
      </c>
      <c r="J75" s="4">
        <f t="shared" si="6"/>
        <v>-1.9268434942017398</v>
      </c>
      <c r="K75" s="5">
        <f t="shared" si="11"/>
        <v>27.08347324747923</v>
      </c>
    </row>
    <row r="76" spans="1:11" ht="12.75">
      <c r="A76" s="14" t="s">
        <v>2</v>
      </c>
      <c r="B76" s="79">
        <v>42.765</v>
      </c>
      <c r="C76" s="79">
        <v>-111.1</v>
      </c>
      <c r="D76" s="15">
        <v>13.802</v>
      </c>
      <c r="E76" s="19">
        <f t="shared" si="7"/>
        <v>0.13802</v>
      </c>
      <c r="F76" s="12">
        <f t="shared" si="8"/>
        <v>1.3525960000000001</v>
      </c>
      <c r="G76" s="12">
        <f t="shared" si="9"/>
        <v>0.130656633</v>
      </c>
      <c r="H76" s="15">
        <f t="shared" si="10"/>
        <v>0.07572618467109182</v>
      </c>
      <c r="I76" s="3">
        <f t="shared" si="5"/>
        <v>0.7463900546153751</v>
      </c>
      <c r="J76" s="4">
        <f t="shared" si="6"/>
        <v>-1.9390607989657</v>
      </c>
      <c r="K76" s="5">
        <f t="shared" si="11"/>
        <v>27.74853797770894</v>
      </c>
    </row>
    <row r="77" spans="1:11" ht="12.75">
      <c r="A77" s="14" t="s">
        <v>8</v>
      </c>
      <c r="B77" s="79">
        <v>45.6</v>
      </c>
      <c r="C77" s="79">
        <v>-111.633</v>
      </c>
      <c r="D77" s="15">
        <v>9.91662</v>
      </c>
      <c r="E77" s="19">
        <f t="shared" si="7"/>
        <v>0.0991662</v>
      </c>
      <c r="F77" s="12">
        <f t="shared" si="8"/>
        <v>0.9718287600000001</v>
      </c>
      <c r="G77" s="12">
        <f t="shared" si="9"/>
        <v>0.09387568322999999</v>
      </c>
      <c r="H77" s="15">
        <f t="shared" si="10"/>
        <v>0.05440862175286499</v>
      </c>
      <c r="I77" s="3">
        <f t="shared" si="5"/>
        <v>0.7958701389094144</v>
      </c>
      <c r="J77" s="4">
        <f t="shared" si="6"/>
        <v>-1.9483634038788298</v>
      </c>
      <c r="K77" s="5">
        <f t="shared" si="11"/>
        <v>27.906591590717834</v>
      </c>
    </row>
    <row r="78" spans="1:11" ht="12.75">
      <c r="A78" s="14" t="s">
        <v>85</v>
      </c>
      <c r="B78" s="79">
        <v>36.89</v>
      </c>
      <c r="C78" s="79">
        <v>-109.69</v>
      </c>
      <c r="D78" s="15">
        <v>1.34356</v>
      </c>
      <c r="E78" s="19">
        <f t="shared" si="7"/>
        <v>0.0134356</v>
      </c>
      <c r="F78" s="12">
        <f t="shared" si="8"/>
        <v>0.13166888000000002</v>
      </c>
      <c r="G78" s="12">
        <f t="shared" si="9"/>
        <v>0.012718810740000001</v>
      </c>
      <c r="H78" s="15">
        <f t="shared" si="10"/>
        <v>0.007371589094094489</v>
      </c>
      <c r="I78" s="3">
        <f t="shared" si="5"/>
        <v>0.6438519610607082</v>
      </c>
      <c r="J78" s="4">
        <f t="shared" si="6"/>
        <v>-1.9144516565125802</v>
      </c>
      <c r="K78" s="5">
        <f t="shared" si="11"/>
        <v>27.937641694320792</v>
      </c>
    </row>
    <row r="79" spans="1:11" ht="12.75">
      <c r="A79" s="14" t="s">
        <v>26</v>
      </c>
      <c r="B79" s="79">
        <v>41.607</v>
      </c>
      <c r="C79" s="79">
        <v>-111.565</v>
      </c>
      <c r="D79" s="15">
        <v>9.69941</v>
      </c>
      <c r="E79" s="19">
        <f t="shared" si="7"/>
        <v>0.0969941</v>
      </c>
      <c r="F79" s="12">
        <f t="shared" si="8"/>
        <v>0.95054218</v>
      </c>
      <c r="G79" s="12">
        <f t="shared" si="9"/>
        <v>0.091819464765</v>
      </c>
      <c r="H79" s="15">
        <f t="shared" si="10"/>
        <v>0.05321687529782892</v>
      </c>
      <c r="I79" s="3">
        <f t="shared" si="5"/>
        <v>0.7261791418772806</v>
      </c>
      <c r="J79" s="4">
        <f t="shared" si="6"/>
        <v>-1.9471765799874738</v>
      </c>
      <c r="K79" s="5">
        <f t="shared" si="11"/>
        <v>28.255313527509628</v>
      </c>
    </row>
    <row r="80" spans="1:11" ht="12.75">
      <c r="A80" s="14" t="s">
        <v>40</v>
      </c>
      <c r="B80" s="79">
        <v>38.505</v>
      </c>
      <c r="C80" s="79">
        <v>-112.211</v>
      </c>
      <c r="D80" s="15">
        <v>7.89962</v>
      </c>
      <c r="E80" s="19">
        <f aca="true" t="shared" si="12" ref="E80:E103">$D80/100</f>
        <v>0.0789962</v>
      </c>
      <c r="F80" s="12">
        <f aca="true" t="shared" si="13" ref="F80:F103">$E80*$B$4</f>
        <v>0.7741627600000001</v>
      </c>
      <c r="G80" s="12">
        <f aca="true" t="shared" si="14" ref="G80:G103">$E80*$B$5</f>
        <v>0.07478175273</v>
      </c>
      <c r="H80" s="15">
        <f aca="true" t="shared" si="15" ref="H80:H103">$E80*$B$9</f>
        <v>0.04334213033991091</v>
      </c>
      <c r="I80" s="3">
        <f t="shared" si="5"/>
        <v>0.6720390284804166</v>
      </c>
      <c r="J80" s="4">
        <f t="shared" si="6"/>
        <v>-1.958451406955357</v>
      </c>
      <c r="K80" s="5">
        <f t="shared" si="11"/>
        <v>29.399763303735106</v>
      </c>
    </row>
    <row r="81" spans="1:11" ht="12.75">
      <c r="A81" s="14" t="s">
        <v>16</v>
      </c>
      <c r="B81" s="79">
        <v>40.196</v>
      </c>
      <c r="C81" s="79">
        <v>-112.816</v>
      </c>
      <c r="D81" s="15">
        <v>5.69843</v>
      </c>
      <c r="E81" s="19">
        <f t="shared" si="12"/>
        <v>0.0569843</v>
      </c>
      <c r="F81" s="12">
        <f t="shared" si="13"/>
        <v>0.55844614</v>
      </c>
      <c r="G81" s="12">
        <f t="shared" si="14"/>
        <v>0.053944187595</v>
      </c>
      <c r="H81" s="15">
        <f t="shared" si="15"/>
        <v>0.03126506031845311</v>
      </c>
      <c r="I81" s="3">
        <f t="shared" si="5"/>
        <v>0.7015525461316406</v>
      </c>
      <c r="J81" s="4">
        <f t="shared" si="6"/>
        <v>-1.9690106489299226</v>
      </c>
      <c r="K81" s="5">
        <f aca="true" t="shared" si="16" ref="K81:K103">(ACOS(SIN($I$16)*SIN($I81)+COS($I$16)*COS($I81)*COS($J81-$J$16)))*180/PI()</f>
        <v>29.45124583386096</v>
      </c>
    </row>
    <row r="82" spans="1:11" ht="12.75">
      <c r="A82" s="14" t="s">
        <v>61</v>
      </c>
      <c r="B82" s="79">
        <v>35.517</v>
      </c>
      <c r="C82" s="79">
        <v>-111.374</v>
      </c>
      <c r="D82" s="15">
        <v>3.45726</v>
      </c>
      <c r="E82" s="19">
        <f t="shared" si="12"/>
        <v>0.0345726</v>
      </c>
      <c r="F82" s="12">
        <f t="shared" si="13"/>
        <v>0.33881148000000005</v>
      </c>
      <c r="G82" s="12">
        <f t="shared" si="14"/>
        <v>0.03272815179</v>
      </c>
      <c r="H82" s="15">
        <f t="shared" si="15"/>
        <v>0.018968635648165408</v>
      </c>
      <c r="I82" s="3">
        <f aca="true" t="shared" si="17" ref="I82:I103">$B82*PI()/180</f>
        <v>0.619888590430826</v>
      </c>
      <c r="J82" s="4">
        <f aca="true" t="shared" si="18" ref="J82:J103">$C82*PI()/180</f>
        <v>-1.9438430011161645</v>
      </c>
      <c r="K82" s="5">
        <f t="shared" si="16"/>
        <v>29.66587377090094</v>
      </c>
    </row>
    <row r="83" spans="1:11" ht="12.75">
      <c r="A83" s="14" t="s">
        <v>23</v>
      </c>
      <c r="B83" s="79">
        <v>43.561</v>
      </c>
      <c r="C83" s="79">
        <v>-114.419</v>
      </c>
      <c r="D83" s="15">
        <v>5.65906</v>
      </c>
      <c r="E83" s="19">
        <f t="shared" si="12"/>
        <v>0.056590600000000005</v>
      </c>
      <c r="F83" s="12">
        <f t="shared" si="13"/>
        <v>0.55458788</v>
      </c>
      <c r="G83" s="12">
        <f t="shared" si="14"/>
        <v>0.053571491490000005</v>
      </c>
      <c r="H83" s="15">
        <f t="shared" si="15"/>
        <v>0.031049052501433774</v>
      </c>
      <c r="I83" s="3">
        <f t="shared" si="17"/>
        <v>0.7602828754612498</v>
      </c>
      <c r="J83" s="4">
        <f t="shared" si="18"/>
        <v>-1.9969882768393918</v>
      </c>
      <c r="K83" s="5">
        <f t="shared" si="16"/>
        <v>30.051219427103838</v>
      </c>
    </row>
    <row r="84" spans="1:11" ht="12.75">
      <c r="A84" s="14" t="s">
        <v>30</v>
      </c>
      <c r="B84" s="79">
        <v>37.017</v>
      </c>
      <c r="C84" s="79">
        <v>-112.822</v>
      </c>
      <c r="D84" s="15">
        <v>4.69635</v>
      </c>
      <c r="E84" s="19">
        <f t="shared" si="12"/>
        <v>0.0469635</v>
      </c>
      <c r="F84" s="12">
        <f t="shared" si="13"/>
        <v>0.4602423</v>
      </c>
      <c r="G84" s="12">
        <f t="shared" si="14"/>
        <v>0.044457997275</v>
      </c>
      <c r="H84" s="15">
        <f t="shared" si="15"/>
        <v>0.02576703864512984</v>
      </c>
      <c r="I84" s="3">
        <f t="shared" si="17"/>
        <v>0.6460685292107411</v>
      </c>
      <c r="J84" s="4">
        <f t="shared" si="18"/>
        <v>-1.9691153686850424</v>
      </c>
      <c r="K84" s="5">
        <f t="shared" si="16"/>
        <v>30.2848280846301</v>
      </c>
    </row>
    <row r="85" spans="1:11" ht="12.75">
      <c r="A85" s="14" t="s">
        <v>57</v>
      </c>
      <c r="B85" s="79">
        <v>32.31</v>
      </c>
      <c r="C85" s="79">
        <v>-110.784</v>
      </c>
      <c r="D85" s="15">
        <v>2.31695</v>
      </c>
      <c r="E85" s="19">
        <f t="shared" si="12"/>
        <v>0.0231695</v>
      </c>
      <c r="F85" s="12">
        <f t="shared" si="13"/>
        <v>0.22706110000000002</v>
      </c>
      <c r="G85" s="12">
        <f t="shared" si="14"/>
        <v>0.021933407175</v>
      </c>
      <c r="H85" s="15">
        <f t="shared" si="15"/>
        <v>0.012712199940130864</v>
      </c>
      <c r="I85" s="3">
        <f t="shared" si="17"/>
        <v>0.5639158813193679</v>
      </c>
      <c r="J85" s="4">
        <f t="shared" si="18"/>
        <v>-1.9335455585293981</v>
      </c>
      <c r="K85" s="5">
        <f t="shared" si="16"/>
        <v>30.446688426760602</v>
      </c>
    </row>
    <row r="86" spans="1:11" ht="12.75">
      <c r="A86" s="14" t="s">
        <v>18</v>
      </c>
      <c r="B86" s="79">
        <v>40.745</v>
      </c>
      <c r="C86" s="79">
        <v>-115.239</v>
      </c>
      <c r="D86" s="15">
        <v>4.9642</v>
      </c>
      <c r="E86" s="19">
        <f t="shared" si="12"/>
        <v>0.049642</v>
      </c>
      <c r="F86" s="12">
        <f t="shared" si="13"/>
        <v>0.4864916</v>
      </c>
      <c r="G86" s="12">
        <f t="shared" si="14"/>
        <v>0.0469935993</v>
      </c>
      <c r="H86" s="15">
        <f t="shared" si="15"/>
        <v>0.02723662700653775</v>
      </c>
      <c r="I86" s="3">
        <f t="shared" si="17"/>
        <v>0.7111344037250895</v>
      </c>
      <c r="J86" s="4">
        <f t="shared" si="18"/>
        <v>-2.0112999767057453</v>
      </c>
      <c r="K86" s="5">
        <f t="shared" si="16"/>
        <v>31.13363870524948</v>
      </c>
    </row>
    <row r="87" spans="1:11" ht="12.75">
      <c r="A87" s="14" t="s">
        <v>43</v>
      </c>
      <c r="B87" s="79">
        <v>48.263</v>
      </c>
      <c r="C87" s="79">
        <v>-117.12</v>
      </c>
      <c r="D87" s="15">
        <v>3.61954</v>
      </c>
      <c r="E87" s="19">
        <f t="shared" si="12"/>
        <v>0.0361954</v>
      </c>
      <c r="F87" s="12">
        <f t="shared" si="13"/>
        <v>0.35471492000000004</v>
      </c>
      <c r="G87" s="12">
        <f t="shared" si="14"/>
        <v>0.03426437541</v>
      </c>
      <c r="H87" s="15">
        <f t="shared" si="15"/>
        <v>0.019859002641965204</v>
      </c>
      <c r="I87" s="3">
        <f t="shared" si="17"/>
        <v>0.8423482568900232</v>
      </c>
      <c r="J87" s="4">
        <f t="shared" si="18"/>
        <v>-2.044129619935759</v>
      </c>
      <c r="K87" s="5">
        <f t="shared" si="16"/>
        <v>31.582243144909693</v>
      </c>
    </row>
    <row r="88" spans="1:11" ht="12.75">
      <c r="A88" s="14" t="s">
        <v>7</v>
      </c>
      <c r="B88" s="79">
        <v>40.431</v>
      </c>
      <c r="C88" s="79">
        <v>-117.222</v>
      </c>
      <c r="D88" s="15">
        <v>8.43259</v>
      </c>
      <c r="E88" s="19">
        <f t="shared" si="12"/>
        <v>0.0843259</v>
      </c>
      <c r="F88" s="12">
        <f t="shared" si="13"/>
        <v>0.8263938200000001</v>
      </c>
      <c r="G88" s="12">
        <f t="shared" si="14"/>
        <v>0.079827113235</v>
      </c>
      <c r="H88" s="15">
        <f t="shared" si="15"/>
        <v>0.04626632861872208</v>
      </c>
      <c r="I88" s="3">
        <f t="shared" si="17"/>
        <v>0.7056540698738273</v>
      </c>
      <c r="J88" s="4">
        <f t="shared" si="18"/>
        <v>-2.045909855772793</v>
      </c>
      <c r="K88" s="5">
        <f t="shared" si="16"/>
        <v>32.671535094056864</v>
      </c>
    </row>
    <row r="89" spans="1:11" ht="12.75">
      <c r="A89" s="14" t="s">
        <v>56</v>
      </c>
      <c r="B89" s="79">
        <v>36.948</v>
      </c>
      <c r="C89" s="79">
        <v>-116.249</v>
      </c>
      <c r="D89" s="15">
        <v>8.79365</v>
      </c>
      <c r="E89" s="19">
        <f t="shared" si="12"/>
        <v>0.0879365</v>
      </c>
      <c r="F89" s="12">
        <f t="shared" si="13"/>
        <v>0.8617777000000001</v>
      </c>
      <c r="G89" s="12">
        <f t="shared" si="14"/>
        <v>0.083245087725</v>
      </c>
      <c r="H89" s="15">
        <f t="shared" si="15"/>
        <v>0.0482473238540028</v>
      </c>
      <c r="I89" s="3">
        <f t="shared" si="17"/>
        <v>0.6448642520268649</v>
      </c>
      <c r="J89" s="4">
        <f t="shared" si="18"/>
        <v>-2.028927802150888</v>
      </c>
      <c r="K89" s="5">
        <f t="shared" si="16"/>
        <v>32.907563695502866</v>
      </c>
    </row>
    <row r="90" spans="1:11" ht="12.75">
      <c r="A90" s="14" t="s">
        <v>62</v>
      </c>
      <c r="B90" s="79">
        <v>42.434</v>
      </c>
      <c r="C90" s="79">
        <v>-118.637</v>
      </c>
      <c r="D90" s="15">
        <v>4.97023</v>
      </c>
      <c r="E90" s="19">
        <f t="shared" si="12"/>
        <v>0.0497023</v>
      </c>
      <c r="F90" s="12">
        <f t="shared" si="13"/>
        <v>0.48708254</v>
      </c>
      <c r="G90" s="12">
        <f t="shared" si="14"/>
        <v>0.047050682295</v>
      </c>
      <c r="H90" s="15">
        <f t="shared" si="15"/>
        <v>0.027269711261976574</v>
      </c>
      <c r="I90" s="3">
        <f t="shared" si="17"/>
        <v>0.7406130147912737</v>
      </c>
      <c r="J90" s="4">
        <f t="shared" si="18"/>
        <v>-2.0706062646885126</v>
      </c>
      <c r="K90" s="5">
        <f t="shared" si="16"/>
        <v>33.27719853105879</v>
      </c>
    </row>
    <row r="91" spans="1:11" ht="12.75">
      <c r="A91" s="14" t="s">
        <v>55</v>
      </c>
      <c r="B91" s="79">
        <v>38.075</v>
      </c>
      <c r="C91" s="79">
        <v>-117.223</v>
      </c>
      <c r="D91" s="15">
        <v>9.86643</v>
      </c>
      <c r="E91" s="19">
        <f t="shared" si="12"/>
        <v>0.0986643</v>
      </c>
      <c r="F91" s="12">
        <f t="shared" si="13"/>
        <v>0.9669101400000001</v>
      </c>
      <c r="G91" s="12">
        <f t="shared" si="14"/>
        <v>0.093400559595</v>
      </c>
      <c r="H91" s="15">
        <f t="shared" si="15"/>
        <v>0.054133248820779634</v>
      </c>
      <c r="I91" s="3">
        <f t="shared" si="17"/>
        <v>0.664534112696841</v>
      </c>
      <c r="J91" s="4">
        <f t="shared" si="18"/>
        <v>-2.0459273090653127</v>
      </c>
      <c r="K91" s="5">
        <f t="shared" si="16"/>
        <v>33.29774783540583</v>
      </c>
    </row>
    <row r="92" spans="1:11" ht="12.75">
      <c r="A92" s="14" t="s">
        <v>21</v>
      </c>
      <c r="B92" s="79">
        <v>46.393</v>
      </c>
      <c r="C92" s="79">
        <v>-119.533</v>
      </c>
      <c r="D92" s="15">
        <v>5.14771</v>
      </c>
      <c r="E92" s="19">
        <f t="shared" si="12"/>
        <v>0.0514771</v>
      </c>
      <c r="F92" s="12">
        <f t="shared" si="13"/>
        <v>0.50447558</v>
      </c>
      <c r="G92" s="12">
        <f t="shared" si="14"/>
        <v>0.048730796715</v>
      </c>
      <c r="H92" s="15">
        <f t="shared" si="15"/>
        <v>0.028243474720564127</v>
      </c>
      <c r="I92" s="3">
        <f t="shared" si="17"/>
        <v>0.8097105998777293</v>
      </c>
      <c r="J92" s="4">
        <f t="shared" si="18"/>
        <v>-2.086244414786382</v>
      </c>
      <c r="K92" s="5">
        <f t="shared" si="16"/>
        <v>33.327815015824626</v>
      </c>
    </row>
    <row r="93" spans="1:11" ht="12.75">
      <c r="A93" s="14" t="s">
        <v>38</v>
      </c>
      <c r="B93" s="79">
        <v>38.433</v>
      </c>
      <c r="C93" s="79">
        <v>-118.153</v>
      </c>
      <c r="D93" s="15">
        <v>17.1728</v>
      </c>
      <c r="E93" s="19">
        <f t="shared" si="12"/>
        <v>0.171728</v>
      </c>
      <c r="F93" s="12">
        <f t="shared" si="13"/>
        <v>1.6829344</v>
      </c>
      <c r="G93" s="12">
        <f t="shared" si="14"/>
        <v>0.16256631119999998</v>
      </c>
      <c r="H93" s="15">
        <f t="shared" si="15"/>
        <v>0.09422044805968162</v>
      </c>
      <c r="I93" s="3">
        <f t="shared" si="17"/>
        <v>0.6707823914189807</v>
      </c>
      <c r="J93" s="4">
        <f t="shared" si="18"/>
        <v>-2.0621588711088603</v>
      </c>
      <c r="K93" s="5">
        <f t="shared" si="16"/>
        <v>33.891435562634854</v>
      </c>
    </row>
    <row r="94" spans="1:11" ht="12.75">
      <c r="A94" s="14" t="s">
        <v>15</v>
      </c>
      <c r="B94" s="79">
        <v>36.277</v>
      </c>
      <c r="C94" s="79">
        <v>-117.594</v>
      </c>
      <c r="D94" s="15">
        <v>16.641701</v>
      </c>
      <c r="E94" s="19">
        <f t="shared" si="12"/>
        <v>0.16641701</v>
      </c>
      <c r="F94" s="12">
        <f t="shared" si="13"/>
        <v>1.630886698</v>
      </c>
      <c r="G94" s="12">
        <f t="shared" si="14"/>
        <v>0.1575386625165</v>
      </c>
      <c r="H94" s="15">
        <f t="shared" si="15"/>
        <v>0.09130651522729268</v>
      </c>
      <c r="I94" s="3">
        <f t="shared" si="17"/>
        <v>0.6331530927459829</v>
      </c>
      <c r="J94" s="4">
        <f t="shared" si="18"/>
        <v>-2.052402480590212</v>
      </c>
      <c r="K94" s="5">
        <f t="shared" si="16"/>
        <v>34.147617500859376</v>
      </c>
    </row>
    <row r="95" spans="1:11" ht="12.75">
      <c r="A95" s="14" t="s">
        <v>48</v>
      </c>
      <c r="B95" s="79">
        <v>33.609</v>
      </c>
      <c r="C95" s="79">
        <v>-116.455</v>
      </c>
      <c r="D95" s="15">
        <v>33.764099</v>
      </c>
      <c r="E95" s="19">
        <f t="shared" si="12"/>
        <v>0.33764099000000003</v>
      </c>
      <c r="F95" s="12">
        <f t="shared" si="13"/>
        <v>3.3088817020000003</v>
      </c>
      <c r="G95" s="12">
        <f t="shared" si="14"/>
        <v>0.3196278431835</v>
      </c>
      <c r="H95" s="15">
        <f t="shared" si="15"/>
        <v>0.18525042719366955</v>
      </c>
      <c r="I95" s="3">
        <f t="shared" si="17"/>
        <v>0.5865877083027742</v>
      </c>
      <c r="J95" s="4">
        <f t="shared" si="18"/>
        <v>-2.032523180409996</v>
      </c>
      <c r="K95" s="5">
        <f t="shared" si="16"/>
        <v>34.258131958943395</v>
      </c>
    </row>
    <row r="96" spans="1:11" ht="12.75">
      <c r="A96" s="14" t="s">
        <v>39</v>
      </c>
      <c r="B96" s="79">
        <v>41.903</v>
      </c>
      <c r="C96" s="79">
        <v>-120.306</v>
      </c>
      <c r="D96" s="15">
        <v>8.41242</v>
      </c>
      <c r="E96" s="19">
        <f t="shared" si="12"/>
        <v>0.0841242</v>
      </c>
      <c r="F96" s="12">
        <f t="shared" si="13"/>
        <v>0.82441716</v>
      </c>
      <c r="G96" s="12">
        <f t="shared" si="14"/>
        <v>0.07963617393</v>
      </c>
      <c r="H96" s="15">
        <f t="shared" si="15"/>
        <v>0.046155663704592544</v>
      </c>
      <c r="I96" s="3">
        <f t="shared" si="17"/>
        <v>0.7313453164631839</v>
      </c>
      <c r="J96" s="4">
        <f t="shared" si="18"/>
        <v>-2.0997358099042978</v>
      </c>
      <c r="K96" s="5">
        <f t="shared" si="16"/>
        <v>34.59738881216152</v>
      </c>
    </row>
    <row r="97" spans="1:11" ht="12.75">
      <c r="A97" s="14" t="s">
        <v>47</v>
      </c>
      <c r="B97" s="79">
        <v>34.148</v>
      </c>
      <c r="C97" s="79">
        <v>-118.172</v>
      </c>
      <c r="D97" s="15">
        <v>37.812199</v>
      </c>
      <c r="E97" s="19">
        <f t="shared" si="12"/>
        <v>0.37812199</v>
      </c>
      <c r="F97" s="12">
        <f t="shared" si="13"/>
        <v>3.7055955020000004</v>
      </c>
      <c r="G97" s="12">
        <f t="shared" si="14"/>
        <v>0.3579491818335</v>
      </c>
      <c r="H97" s="15">
        <f t="shared" si="15"/>
        <v>0.2074607712138874</v>
      </c>
      <c r="I97" s="3">
        <f t="shared" si="17"/>
        <v>0.5959950329710237</v>
      </c>
      <c r="J97" s="4">
        <f t="shared" si="18"/>
        <v>-2.062490483666739</v>
      </c>
      <c r="K97" s="5">
        <f t="shared" si="16"/>
        <v>35.359797460424645</v>
      </c>
    </row>
    <row r="98" spans="1:11" ht="12.75">
      <c r="A98" s="14" t="s">
        <v>13</v>
      </c>
      <c r="B98" s="79">
        <v>38.035</v>
      </c>
      <c r="C98" s="79">
        <v>-120.385</v>
      </c>
      <c r="D98" s="15">
        <v>9.53008</v>
      </c>
      <c r="E98" s="19">
        <f t="shared" si="12"/>
        <v>0.0953008</v>
      </c>
      <c r="F98" s="12">
        <f t="shared" si="13"/>
        <v>0.9339478400000001</v>
      </c>
      <c r="G98" s="12">
        <f t="shared" si="14"/>
        <v>0.09021650232</v>
      </c>
      <c r="H98" s="15">
        <f t="shared" si="15"/>
        <v>0.05228782770687428</v>
      </c>
      <c r="I98" s="3">
        <f t="shared" si="17"/>
        <v>0.6638359809960431</v>
      </c>
      <c r="J98" s="4">
        <f t="shared" si="18"/>
        <v>-2.101114620013374</v>
      </c>
      <c r="K98" s="5">
        <f t="shared" si="16"/>
        <v>35.68323514269327</v>
      </c>
    </row>
    <row r="99" spans="1:11" ht="12.75">
      <c r="A99" s="14" t="s">
        <v>14</v>
      </c>
      <c r="B99" s="79">
        <v>44.586</v>
      </c>
      <c r="C99" s="79">
        <v>-123.303</v>
      </c>
      <c r="D99" s="15">
        <v>9.50511</v>
      </c>
      <c r="E99" s="19">
        <f t="shared" si="12"/>
        <v>0.0950511</v>
      </c>
      <c r="F99" s="12">
        <f t="shared" si="13"/>
        <v>0.93150078</v>
      </c>
      <c r="G99" s="12">
        <f t="shared" si="14"/>
        <v>0.089980123815</v>
      </c>
      <c r="H99" s="15">
        <f t="shared" si="15"/>
        <v>0.05215082706702229</v>
      </c>
      <c r="I99" s="3">
        <f t="shared" si="17"/>
        <v>0.7781725002941917</v>
      </c>
      <c r="J99" s="4">
        <f t="shared" si="18"/>
        <v>-2.152043327586568</v>
      </c>
      <c r="K99" s="5">
        <f t="shared" si="16"/>
        <v>36.19902414632496</v>
      </c>
    </row>
    <row r="100" spans="1:11" ht="12.75">
      <c r="A100" s="14" t="s">
        <v>45</v>
      </c>
      <c r="B100" s="79">
        <v>47.749</v>
      </c>
      <c r="C100" s="79">
        <v>-124.178</v>
      </c>
      <c r="D100" s="15">
        <v>16.503599</v>
      </c>
      <c r="E100" s="19">
        <f t="shared" si="12"/>
        <v>0.16503599000000002</v>
      </c>
      <c r="F100" s="12">
        <f t="shared" si="13"/>
        <v>1.6173527020000003</v>
      </c>
      <c r="G100" s="12">
        <f t="shared" si="14"/>
        <v>0.1562313199335</v>
      </c>
      <c r="H100" s="15">
        <f t="shared" si="15"/>
        <v>0.09054880347860067</v>
      </c>
      <c r="I100" s="3">
        <f t="shared" si="17"/>
        <v>0.8333772645347725</v>
      </c>
      <c r="J100" s="4">
        <f t="shared" si="18"/>
        <v>-2.1673149585415183</v>
      </c>
      <c r="K100" s="5">
        <f t="shared" si="16"/>
        <v>36.32687699717058</v>
      </c>
    </row>
    <row r="101" spans="1:11" ht="12.75">
      <c r="A101" s="14" t="s">
        <v>59</v>
      </c>
      <c r="B101" s="79">
        <v>40.58</v>
      </c>
      <c r="C101" s="79">
        <v>-122.54</v>
      </c>
      <c r="D101" s="15">
        <v>12.8582</v>
      </c>
      <c r="E101" s="19">
        <f t="shared" si="12"/>
        <v>0.128582</v>
      </c>
      <c r="F101" s="12">
        <f t="shared" si="13"/>
        <v>1.2601036</v>
      </c>
      <c r="G101" s="12">
        <f t="shared" si="14"/>
        <v>0.1217221503</v>
      </c>
      <c r="H101" s="15">
        <f t="shared" si="15"/>
        <v>0.0705479226009153</v>
      </c>
      <c r="I101" s="3">
        <f t="shared" si="17"/>
        <v>0.7082546104592988</v>
      </c>
      <c r="J101" s="4">
        <f t="shared" si="18"/>
        <v>-2.1387264653938516</v>
      </c>
      <c r="K101" s="5">
        <f t="shared" si="16"/>
        <v>36.54845016826462</v>
      </c>
    </row>
    <row r="102" spans="1:11" ht="12.75">
      <c r="A102" s="14" t="s">
        <v>51</v>
      </c>
      <c r="B102" s="79">
        <v>36.765</v>
      </c>
      <c r="C102" s="79">
        <v>-121.445</v>
      </c>
      <c r="D102" s="15">
        <v>43.401501</v>
      </c>
      <c r="E102" s="19">
        <f t="shared" si="12"/>
        <v>0.43401501000000003</v>
      </c>
      <c r="F102" s="12">
        <f t="shared" si="13"/>
        <v>4.253347098000001</v>
      </c>
      <c r="G102" s="12">
        <f t="shared" si="14"/>
        <v>0.4108603092165</v>
      </c>
      <c r="H102" s="15">
        <f t="shared" si="15"/>
        <v>0.23812708880804062</v>
      </c>
      <c r="I102" s="3">
        <f t="shared" si="17"/>
        <v>0.6416702994957153</v>
      </c>
      <c r="J102" s="4">
        <f t="shared" si="18"/>
        <v>-2.1196151100845135</v>
      </c>
      <c r="K102" s="5">
        <f t="shared" si="16"/>
        <v>36.89299130358362</v>
      </c>
    </row>
    <row r="103" spans="1:11" ht="13.5" thickBot="1">
      <c r="A103" s="16" t="s">
        <v>24</v>
      </c>
      <c r="B103" s="80">
        <v>38.994</v>
      </c>
      <c r="C103" s="80">
        <v>-123.072</v>
      </c>
      <c r="D103" s="18">
        <v>36.9254</v>
      </c>
      <c r="E103" s="20">
        <f t="shared" si="12"/>
        <v>0.369254</v>
      </c>
      <c r="F103" s="17">
        <f t="shared" si="13"/>
        <v>3.6186892000000004</v>
      </c>
      <c r="G103" s="17">
        <f t="shared" si="14"/>
        <v>0.3495542991</v>
      </c>
      <c r="H103" s="18">
        <f t="shared" si="15"/>
        <v>0.20259525137327447</v>
      </c>
      <c r="I103" s="81">
        <f t="shared" si="17"/>
        <v>0.6805736885226689</v>
      </c>
      <c r="J103" s="82">
        <f t="shared" si="18"/>
        <v>-2.148011617014461</v>
      </c>
      <c r="K103" s="6">
        <f t="shared" si="16"/>
        <v>37.39140475036019</v>
      </c>
    </row>
    <row r="104" ht="13.5" thickTop="1"/>
  </sheetData>
  <sheetProtection sheet="1" objects="1" scenarios="1"/>
  <mergeCells count="3">
    <mergeCell ref="E14:H14"/>
    <mergeCell ref="A14:D14"/>
    <mergeCell ref="I14:K1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zoomScale="115" zoomScaleNormal="115" workbookViewId="0" topLeftCell="A1">
      <selection activeCell="E12" sqref="E12"/>
    </sheetView>
  </sheetViews>
  <sheetFormatPr defaultColWidth="9.140625" defaultRowHeight="12.75"/>
  <cols>
    <col min="1" max="1" width="10.140625" style="0" customWidth="1"/>
    <col min="3" max="3" width="9.57421875" style="0" customWidth="1"/>
    <col min="4" max="4" width="13.28125" style="0" customWidth="1"/>
    <col min="5" max="5" width="11.140625" style="0" customWidth="1"/>
    <col min="6" max="6" width="12.28125" style="0" customWidth="1"/>
  </cols>
  <sheetData>
    <row r="1" spans="1:6" ht="18" thickBot="1">
      <c r="A1" s="155" t="s">
        <v>123</v>
      </c>
      <c r="B1" s="156"/>
      <c r="C1" s="156"/>
      <c r="D1" s="157"/>
      <c r="E1" s="157"/>
      <c r="F1" s="158"/>
    </row>
    <row r="2" spans="1:3" ht="16.5">
      <c r="A2" s="31" t="s">
        <v>111</v>
      </c>
      <c r="B2" s="39">
        <f>1/'Station Peak'!B11</f>
        <v>1.7253824891283298</v>
      </c>
      <c r="C2" s="32" t="s">
        <v>114</v>
      </c>
    </row>
    <row r="3" spans="1:3" ht="16.5">
      <c r="A3" s="31" t="s">
        <v>112</v>
      </c>
      <c r="B3" s="39">
        <f>1/'Station Peak'!B6</f>
        <v>10.35229493476998</v>
      </c>
      <c r="C3" s="32" t="s">
        <v>114</v>
      </c>
    </row>
    <row r="4" spans="1:3" ht="15">
      <c r="A4" s="49" t="s">
        <v>133</v>
      </c>
      <c r="B4" s="39">
        <f>'Station Peak'!B12</f>
        <v>0.2746031518689721</v>
      </c>
      <c r="C4" s="32" t="s">
        <v>107</v>
      </c>
    </row>
    <row r="5" spans="1:4" ht="15">
      <c r="A5" s="49" t="s">
        <v>134</v>
      </c>
      <c r="B5" s="39">
        <f>'Station Peak'!B7</f>
        <v>1.6476189112138324</v>
      </c>
      <c r="C5" s="32" t="s">
        <v>107</v>
      </c>
      <c r="D5" t="s">
        <v>163</v>
      </c>
    </row>
    <row r="6" spans="1:4" ht="15">
      <c r="A6" s="36" t="s">
        <v>110</v>
      </c>
      <c r="B6" s="39">
        <f>'Station Peak'!F16</f>
        <v>0.15680000000000002</v>
      </c>
      <c r="C6" s="32" t="s">
        <v>113</v>
      </c>
      <c r="D6" t="s">
        <v>164</v>
      </c>
    </row>
    <row r="7" spans="1:3" ht="12.75">
      <c r="A7" s="41" t="s">
        <v>125</v>
      </c>
      <c r="B7" s="39">
        <f>'Station Peak'!$G$16</f>
        <v>0.0151464</v>
      </c>
      <c r="C7" s="32" t="s">
        <v>127</v>
      </c>
    </row>
    <row r="8" spans="1:3" ht="13.5" thickBot="1">
      <c r="A8" s="34" t="s">
        <v>126</v>
      </c>
      <c r="B8" s="40">
        <f>'Station Peak'!$H$16</f>
        <v>0.008778575240816325</v>
      </c>
      <c r="C8" s="33" t="s">
        <v>128</v>
      </c>
    </row>
    <row r="9" spans="1:3" ht="13.5" thickBot="1">
      <c r="A9" s="35"/>
      <c r="B9" s="96"/>
      <c r="C9" s="97"/>
    </row>
    <row r="10" spans="1:4" ht="26.25" customHeight="1" thickBot="1">
      <c r="A10" s="148" t="s">
        <v>180</v>
      </c>
      <c r="B10" s="149"/>
      <c r="C10" s="150"/>
      <c r="D10" s="116" t="s">
        <v>182</v>
      </c>
    </row>
    <row r="11" spans="1:4" ht="15">
      <c r="A11" s="36" t="s">
        <v>167</v>
      </c>
      <c r="B11" s="113">
        <v>0.4</v>
      </c>
      <c r="C11" s="98" t="s">
        <v>113</v>
      </c>
      <c r="D11" s="117">
        <v>0.4</v>
      </c>
    </row>
    <row r="12" spans="1:4" ht="12.75">
      <c r="A12" s="36" t="s">
        <v>168</v>
      </c>
      <c r="B12" s="113">
        <v>0.04</v>
      </c>
      <c r="C12" s="98" t="s">
        <v>127</v>
      </c>
      <c r="D12" s="117">
        <v>0.04</v>
      </c>
    </row>
    <row r="13" spans="1:4" ht="13.5" thickBot="1">
      <c r="A13" s="34" t="s">
        <v>169</v>
      </c>
      <c r="B13" s="114">
        <v>0.015</v>
      </c>
      <c r="C13" s="100" t="s">
        <v>128</v>
      </c>
      <c r="D13" s="118">
        <v>0.015</v>
      </c>
    </row>
    <row r="14" spans="1:3" ht="15">
      <c r="A14" s="101" t="s">
        <v>170</v>
      </c>
      <c r="B14" s="102">
        <f>$B$12/$B$13/(2*PI())</f>
        <v>0.42441318157838764</v>
      </c>
      <c r="C14" s="85" t="s">
        <v>107</v>
      </c>
    </row>
    <row r="15" spans="1:3" ht="15.75" thickBot="1">
      <c r="A15" s="34" t="s">
        <v>171</v>
      </c>
      <c r="B15" s="103">
        <f>$B$11/$B$12/(2*PI())</f>
        <v>1.5915494309189535</v>
      </c>
      <c r="C15" s="33" t="s">
        <v>107</v>
      </c>
    </row>
    <row r="16" spans="1:3" ht="13.5" thickBot="1">
      <c r="A16" s="35"/>
      <c r="B16" s="42"/>
      <c r="C16" s="28"/>
    </row>
    <row r="17" spans="3:4" ht="17.25" thickBot="1">
      <c r="C17" s="165" t="s">
        <v>131</v>
      </c>
      <c r="D17" s="147"/>
    </row>
    <row r="18" spans="1:6" ht="15" thickBot="1">
      <c r="A18" s="43"/>
      <c r="B18" s="44"/>
      <c r="C18" s="46"/>
      <c r="D18" s="146" t="s">
        <v>156</v>
      </c>
      <c r="E18" s="147"/>
      <c r="F18" s="47"/>
    </row>
    <row r="19" spans="1:6" ht="15" thickBot="1">
      <c r="A19" s="64" t="s">
        <v>129</v>
      </c>
      <c r="B19" s="65" t="s">
        <v>130</v>
      </c>
      <c r="E19" s="66" t="s">
        <v>144</v>
      </c>
      <c r="F19" s="66" t="s">
        <v>145</v>
      </c>
    </row>
    <row r="20" spans="1:9" ht="28.5" thickBot="1">
      <c r="A20" s="72" t="s">
        <v>122</v>
      </c>
      <c r="B20" s="73" t="s">
        <v>132</v>
      </c>
      <c r="C20" s="74" t="s">
        <v>121</v>
      </c>
      <c r="D20" s="75" t="s">
        <v>115</v>
      </c>
      <c r="E20" s="75" t="s">
        <v>116</v>
      </c>
      <c r="F20" s="76" t="s">
        <v>117</v>
      </c>
      <c r="G20" s="1"/>
      <c r="H20" s="1"/>
      <c r="I20" s="1"/>
    </row>
    <row r="21" spans="1:6" ht="12.75">
      <c r="A21" s="11">
        <v>0.0001</v>
      </c>
      <c r="B21" s="67">
        <v>0.000628</v>
      </c>
      <c r="C21" s="28" t="str">
        <f>COMPLEX($B$2*$B$3-$B21*$B21,$B21*($B$2+$B$3),"j")</f>
        <v>17.86166800836+7.58478142220814E-003j</v>
      </c>
      <c r="D21" s="68">
        <f>$B$6/IMABS($C21)</f>
        <v>0.00877857464317348</v>
      </c>
      <c r="E21" s="68">
        <f>$D21*$B21</f>
        <v>5.512944875912945E-06</v>
      </c>
      <c r="F21" s="69">
        <f>$E21*$B21</f>
        <v>3.4621293820733295E-09</v>
      </c>
    </row>
    <row r="22" spans="1:6" ht="12.75">
      <c r="A22" s="11">
        <v>0.00015</v>
      </c>
      <c r="B22" s="67">
        <v>0.0009424777960769378</v>
      </c>
      <c r="C22" s="28" t="str">
        <f>COMPLEX($B$2*$B$3-$B22*$B22,$B22*($B$2+$B$3),"j")</f>
        <v>17.8616675144796+1.13829428002039E-002j</v>
      </c>
      <c r="D22" s="68">
        <f>$B$6/IMABS($C22)</f>
        <v>0.008778573894755627</v>
      </c>
      <c r="E22" s="68">
        <f aca="true" t="shared" si="0" ref="E22:E85">$D22*$B22</f>
        <v>8.273610977027823E-06</v>
      </c>
      <c r="F22" s="69">
        <f aca="true" t="shared" si="1" ref="F22:F85">$E22*$B22</f>
        <v>7.797694639227143E-09</v>
      </c>
    </row>
    <row r="23" spans="1:6" ht="12.75">
      <c r="A23" s="11">
        <v>0.0002</v>
      </c>
      <c r="B23" s="67">
        <v>0.00126</v>
      </c>
      <c r="C23" s="28" t="str">
        <f>COMPLEX($B$2*$B$3-$B23*$B23,$B23*($B$2+$B$3),"j")</f>
        <v>17.861666815144+1.52178735541119E-002j</v>
      </c>
      <c r="D23" s="68">
        <f>$B$6/IMABS($C23)</f>
        <v>0.008778572834994799</v>
      </c>
      <c r="E23" s="68">
        <f t="shared" si="0"/>
        <v>1.1061001772093448E-05</v>
      </c>
      <c r="F23" s="69">
        <f t="shared" si="1"/>
        <v>1.3936862232837745E-08</v>
      </c>
    </row>
    <row r="24" spans="1:6" ht="12.75">
      <c r="A24" s="11">
        <v>0.0003</v>
      </c>
      <c r="B24" s="67">
        <v>0.00188</v>
      </c>
      <c r="C24" s="28" t="str">
        <f>COMPLEX($B$2*$B$3-$B24*$B24,$B24*($B$2+$B$3),"j")</f>
        <v>17.861664868344+2.27060335569288E-002j</v>
      </c>
      <c r="D24" s="68">
        <f>$B$6/IMABS($C24)</f>
        <v>0.008778569884850405</v>
      </c>
      <c r="E24" s="68">
        <f t="shared" si="0"/>
        <v>1.650371138351876E-05</v>
      </c>
      <c r="F24" s="69">
        <f t="shared" si="1"/>
        <v>3.102697740101527E-08</v>
      </c>
    </row>
    <row r="25" spans="1:6" ht="12.75">
      <c r="A25" s="11">
        <v>0.0004</v>
      </c>
      <c r="B25" s="67">
        <v>0.00251</v>
      </c>
      <c r="C25" s="28" t="str">
        <f>COMPLEX($B$2*$B$3-$B25*$B25,$B25*($B$2+$B$3),"j")</f>
        <v>17.861662102644+3.03149703339848E-002j</v>
      </c>
      <c r="D25" s="68">
        <f>$B$6/IMABS($C25)</f>
        <v>0.008778565693765162</v>
      </c>
      <c r="E25" s="68">
        <f t="shared" si="0"/>
        <v>2.203419989135056E-05</v>
      </c>
      <c r="F25" s="69">
        <f t="shared" si="1"/>
        <v>5.53058417272899E-08</v>
      </c>
    </row>
    <row r="26" spans="1:6" ht="12.75">
      <c r="A26" s="11">
        <v>0.0005</v>
      </c>
      <c r="B26" s="67">
        <v>0.00314</v>
      </c>
      <c r="C26" s="28" t="str">
        <f>COMPLEX($B$2*$B$3-$B26*$B26,$B26*($B$2+$B$3),"j")</f>
        <v>17.861658543144+3.79239071110407E-002j</v>
      </c>
      <c r="D26" s="68">
        <f>$B$6/IMABS($C26)</f>
        <v>0.008778560299780157</v>
      </c>
      <c r="E26" s="68">
        <f t="shared" si="0"/>
        <v>2.7564679341309693E-05</v>
      </c>
      <c r="F26" s="69">
        <f t="shared" si="1"/>
        <v>8.655309313171243E-08</v>
      </c>
    </row>
    <row r="27" spans="1:6" ht="12.75">
      <c r="A27" s="11">
        <v>0.0006</v>
      </c>
      <c r="B27" s="67">
        <v>0.00377</v>
      </c>
      <c r="C27" s="28" t="str">
        <f>COMPLEX($B$2*$B$3-$B27*$B27,$B27*($B$2+$B$3),"j")</f>
        <v>17.861654189844+4.55328438880966E-002j</v>
      </c>
      <c r="D27" s="68">
        <f>$B$6/IMABS($C27)</f>
        <v>0.008778553702901797</v>
      </c>
      <c r="E27" s="68">
        <f t="shared" si="0"/>
        <v>3.3095147459939774E-05</v>
      </c>
      <c r="F27" s="69">
        <f t="shared" si="1"/>
        <v>1.2476870592397296E-07</v>
      </c>
    </row>
    <row r="28" spans="1:6" ht="12.75">
      <c r="A28" s="11">
        <v>0.0007</v>
      </c>
      <c r="B28" s="67">
        <v>0.0044</v>
      </c>
      <c r="C28" s="28" t="str">
        <f>COMPLEX($B$2*$B$3-$B28*$B28,$B28*($B$2+$B$3),"j")</f>
        <v>17.861649042744+5.31417806651526E-002j</v>
      </c>
      <c r="D28" s="68">
        <f>$B$6/IMABS($C28)</f>
        <v>0.008778545903137943</v>
      </c>
      <c r="E28" s="68">
        <f t="shared" si="0"/>
        <v>3.862560197380695E-05</v>
      </c>
      <c r="F28" s="69">
        <f t="shared" si="1"/>
        <v>1.699526486847506E-07</v>
      </c>
    </row>
    <row r="29" spans="1:6" ht="12.75">
      <c r="A29" s="11">
        <v>0.0008</v>
      </c>
      <c r="B29" s="67">
        <v>0.00503</v>
      </c>
      <c r="C29" s="28" t="str">
        <f>COMPLEX($B$2*$B$3-$B29*$B29,$B29*($B$2+$B$3),"j")</f>
        <v>17.861643101844+6.07507174422085E-002j</v>
      </c>
      <c r="D29" s="68">
        <f>$B$6/IMABS($C29)</f>
        <v>0.00877853690049787</v>
      </c>
      <c r="E29" s="68">
        <f t="shared" si="0"/>
        <v>4.415604060950429E-05</v>
      </c>
      <c r="F29" s="69">
        <f t="shared" si="1"/>
        <v>2.2210488426580655E-07</v>
      </c>
    </row>
    <row r="30" spans="1:6" ht="12.75">
      <c r="A30" s="11">
        <v>0.0009</v>
      </c>
      <c r="B30" s="67">
        <v>0.00565</v>
      </c>
      <c r="C30" s="28" t="str">
        <f>COMPLEX($B$2*$B$3-$B30*$B30,$B30*($B$2+$B$3),"j")</f>
        <v>17.861636480244+6.82388774450255E-002j</v>
      </c>
      <c r="D30" s="68">
        <f>$B$6/IMABS($C30)</f>
        <v>0.008778526866379402</v>
      </c>
      <c r="E30" s="68">
        <f t="shared" si="0"/>
        <v>4.959867679504362E-05</v>
      </c>
      <c r="F30" s="69">
        <f t="shared" si="1"/>
        <v>2.8023252389199643E-07</v>
      </c>
    </row>
    <row r="31" spans="1:6" ht="12.75">
      <c r="A31" s="11">
        <v>0.001</v>
      </c>
      <c r="B31" s="67">
        <v>0.00628</v>
      </c>
      <c r="C31" s="28" t="str">
        <f>COMPLEX($B$2*$B$3-$B31*$B31,$B31*($B$2+$B$3),"j")</f>
        <v>17.861628964344+7.58478142220814E-002j</v>
      </c>
      <c r="D31" s="68">
        <f>$B$6/IMABS($C31)</f>
        <v>0.008778515477113275</v>
      </c>
      <c r="E31" s="68">
        <f t="shared" si="0"/>
        <v>5.512907719627137E-05</v>
      </c>
      <c r="F31" s="69">
        <f t="shared" si="1"/>
        <v>3.462106047925842E-07</v>
      </c>
    </row>
    <row r="32" spans="1:6" ht="12.75">
      <c r="A32" s="11">
        <v>0.0015</v>
      </c>
      <c r="B32" s="67">
        <v>0.00942</v>
      </c>
      <c r="C32" s="28" t="str">
        <f>COMPLEX($B$2*$B$3-$B32*$B32,$B32*($B$2+$B$3),"j")</f>
        <v>17.861579666344+0.113771721333122j</v>
      </c>
      <c r="D32" s="68">
        <f>$B$6/IMABS($C32)</f>
        <v>0.008778440774140701</v>
      </c>
      <c r="E32" s="68">
        <f t="shared" si="0"/>
        <v>8.26929120924054E-05</v>
      </c>
      <c r="F32" s="69">
        <f t="shared" si="1"/>
        <v>7.789672319104589E-07</v>
      </c>
    </row>
    <row r="33" spans="1:6" ht="12.75">
      <c r="A33" s="11">
        <v>0.002</v>
      </c>
      <c r="B33" s="67">
        <v>0.0126</v>
      </c>
      <c r="C33" s="28" t="str">
        <f>COMPLEX($B$2*$B$3-$B33*$B33,$B33*($B$2+$B$3),"j")</f>
        <v>17.861509642744+0.152178735541119j</v>
      </c>
      <c r="D33" s="68">
        <f>$B$6/IMABS($C33)</f>
        <v>0.0087783346681095</v>
      </c>
      <c r="E33" s="68">
        <f t="shared" si="0"/>
        <v>0.00011060701681817971</v>
      </c>
      <c r="F33" s="69">
        <f t="shared" si="1"/>
        <v>1.3936484119090644E-06</v>
      </c>
    </row>
    <row r="34" spans="1:6" ht="12.75">
      <c r="A34" s="11">
        <v>0.003</v>
      </c>
      <c r="B34" s="67">
        <v>0.0188</v>
      </c>
      <c r="C34" s="28" t="str">
        <f>COMPLEX($B$2*$B$3-$B34*$B34,$B34*($B$2+$B$3),"j")</f>
        <v>17.861314962744+0.227060335569288j</v>
      </c>
      <c r="D34" s="68">
        <f>$B$6/IMABS($C34)</f>
        <v>0.008778039691043037</v>
      </c>
      <c r="E34" s="68">
        <f t="shared" si="0"/>
        <v>0.0001650271461916091</v>
      </c>
      <c r="F34" s="69">
        <f t="shared" si="1"/>
        <v>3.102510348402251E-06</v>
      </c>
    </row>
    <row r="35" spans="1:6" ht="12.75">
      <c r="A35" s="11">
        <v>0.004</v>
      </c>
      <c r="B35" s="67">
        <v>0.0251</v>
      </c>
      <c r="C35" s="28" t="str">
        <f>COMPLEX($B$2*$B$3-$B35*$B35,$B35*($B$2+$B$3),"j")</f>
        <v>17.861038392744+0.303149703339848j</v>
      </c>
      <c r="D35" s="68">
        <f>$B$6/IMABS($C35)</f>
        <v>0.008777620684451181</v>
      </c>
      <c r="E35" s="68">
        <f t="shared" si="0"/>
        <v>0.00022031827917972467</v>
      </c>
      <c r="F35" s="69">
        <f t="shared" si="1"/>
        <v>5.529988807411089E-06</v>
      </c>
    </row>
    <row r="36" spans="1:6" ht="12.75">
      <c r="A36" s="11">
        <v>0.005</v>
      </c>
      <c r="B36" s="67">
        <v>0.0314</v>
      </c>
      <c r="C36" s="28" t="str">
        <f>COMPLEX($B$2*$B$3-$B36*$B36,$B36*($B$2+$B$3),"j")</f>
        <v>17.860682442744+0.379239071110407j</v>
      </c>
      <c r="D36" s="68">
        <f>$B$6/IMABS($C36)</f>
        <v>0.008777081501485548</v>
      </c>
      <c r="E36" s="68">
        <f t="shared" si="0"/>
        <v>0.0002756003591466462</v>
      </c>
      <c r="F36" s="69">
        <f t="shared" si="1"/>
        <v>8.653851277204691E-06</v>
      </c>
    </row>
    <row r="37" spans="1:6" ht="12.75">
      <c r="A37" s="11">
        <v>0.006</v>
      </c>
      <c r="B37" s="67">
        <v>0.0377</v>
      </c>
      <c r="C37" s="28" t="str">
        <f>COMPLEX($B$2*$B$3-$B37*$B37,$B37*($B$2+$B$3),"j")</f>
        <v>17.860247112744+0.455328438880966j</v>
      </c>
      <c r="D37" s="68">
        <f>$B$6/IMABS($C37)</f>
        <v>0.008776422206261314</v>
      </c>
      <c r="E37" s="68">
        <f t="shared" si="0"/>
        <v>0.0003308711171760515</v>
      </c>
      <c r="F37" s="69">
        <f t="shared" si="1"/>
        <v>1.247384111753714E-05</v>
      </c>
    </row>
    <row r="38" spans="1:6" ht="12.75">
      <c r="A38" s="11">
        <v>0.007</v>
      </c>
      <c r="B38" s="67">
        <v>0.044</v>
      </c>
      <c r="C38" s="28" t="str">
        <f>COMPLEX($B$2*$B$3-$B38*$B38,$B38*($B$2+$B$3),"j")</f>
        <v>17.859732402744+0.531417806651526j</v>
      </c>
      <c r="D38" s="68">
        <f>$B$6/IMABS($C38)</f>
        <v>0.0087756428771486</v>
      </c>
      <c r="E38" s="68">
        <f t="shared" si="0"/>
        <v>0.00038612828659453837</v>
      </c>
      <c r="F38" s="69">
        <f t="shared" si="1"/>
        <v>1.6989644610159687E-05</v>
      </c>
    </row>
    <row r="39" spans="1:6" ht="12.75">
      <c r="A39" s="11">
        <v>0.008</v>
      </c>
      <c r="B39" s="67">
        <v>0.0503</v>
      </c>
      <c r="C39" s="28" t="str">
        <f>COMPLEX($B$2*$B$3-$B39*$B39,$B39*($B$2+$B$3),"j")</f>
        <v>17.859138312744+0.607507174422085j</v>
      </c>
      <c r="D39" s="68">
        <f>$B$6/IMABS($C39)</f>
        <v>0.008774743606746451</v>
      </c>
      <c r="E39" s="68">
        <f t="shared" si="0"/>
        <v>0.0004413696034193465</v>
      </c>
      <c r="F39" s="69">
        <f t="shared" si="1"/>
        <v>2.2200891051993127E-05</v>
      </c>
    </row>
    <row r="40" spans="1:6" ht="12.75">
      <c r="A40" s="11">
        <v>0.009</v>
      </c>
      <c r="B40" s="67">
        <v>0.0565</v>
      </c>
      <c r="C40" s="28" t="str">
        <f>COMPLEX($B$2*$B$3-$B40*$B40,$B40*($B$2+$B$3),"j")</f>
        <v>17.858476152744+0.682388774450254j</v>
      </c>
      <c r="D40" s="68">
        <f>$B$6/IMABS($C40)</f>
        <v>0.008773741613485063</v>
      </c>
      <c r="E40" s="68">
        <f t="shared" si="0"/>
        <v>0.0004957164011619061</v>
      </c>
      <c r="F40" s="69">
        <f t="shared" si="1"/>
        <v>2.8007976665647697E-05</v>
      </c>
    </row>
    <row r="41" spans="1:6" ht="12.75">
      <c r="A41" s="11">
        <v>0.01</v>
      </c>
      <c r="B41" s="67">
        <v>0.0628</v>
      </c>
      <c r="C41" s="28" t="str">
        <f>COMPLEX($B$2*$B$3-$B41*$B41,$B41*($B$2+$B$3),"j")</f>
        <v>17.857724562744+0.758478142220814j</v>
      </c>
      <c r="D41" s="68">
        <f>$B$6/IMABS($C41)</f>
        <v>0.008772604694255563</v>
      </c>
      <c r="E41" s="68">
        <f t="shared" si="0"/>
        <v>0.0005509195747992493</v>
      </c>
      <c r="F41" s="69">
        <f t="shared" si="1"/>
        <v>3.459774929739285E-05</v>
      </c>
    </row>
    <row r="42" spans="1:6" ht="12.75">
      <c r="A42" s="11">
        <v>0.011</v>
      </c>
      <c r="B42" s="67">
        <v>0.0691</v>
      </c>
      <c r="C42" s="28" t="str">
        <f>COMPLEX($B$2*$B$3-$B42*$B42,$B42*($B$2+$B$3),"j")</f>
        <v>17.856893592744+0.834567509991373j</v>
      </c>
      <c r="D42" s="68">
        <f>$B$6/IMABS($C42)</f>
        <v>0.008771348194322364</v>
      </c>
      <c r="E42" s="68">
        <f t="shared" si="0"/>
        <v>0.0006061001602276752</v>
      </c>
      <c r="F42" s="69">
        <f t="shared" si="1"/>
        <v>4.1881521071732353E-05</v>
      </c>
    </row>
    <row r="43" spans="1:6" ht="12.75">
      <c r="A43" s="11">
        <v>0.012</v>
      </c>
      <c r="B43" s="67">
        <v>0.0754</v>
      </c>
      <c r="C43" s="28" t="str">
        <f>COMPLEX($B$2*$B$3-$B43*$B43,$B43*($B$2+$B$3),"j")</f>
        <v>17.855983242744+0.910656877761932j</v>
      </c>
      <c r="D43" s="68">
        <f>$B$6/IMABS($C43)</f>
        <v>0.008769972262623103</v>
      </c>
      <c r="E43" s="68">
        <f t="shared" si="0"/>
        <v>0.0006612559086017819</v>
      </c>
      <c r="F43" s="69">
        <f t="shared" si="1"/>
        <v>4.9858695508574354E-05</v>
      </c>
    </row>
    <row r="44" spans="1:6" ht="12.75">
      <c r="A44" s="11">
        <v>0.013</v>
      </c>
      <c r="B44" s="67">
        <v>0.0817</v>
      </c>
      <c r="C44" s="28" t="str">
        <f>COMPLEX($B$2*$B$3-$B44*$B44,$B44*($B$2+$B$3),"j")</f>
        <v>17.854993512744+0.986746245532492j</v>
      </c>
      <c r="D44" s="68">
        <f>$B$6/IMABS($C44)</f>
        <v>0.008768477062124918</v>
      </c>
      <c r="E44" s="68">
        <f t="shared" si="0"/>
        <v>0.0007163845759756058</v>
      </c>
      <c r="F44" s="69">
        <f t="shared" si="1"/>
        <v>5.852861985720699E-05</v>
      </c>
    </row>
    <row r="45" spans="1:6" ht="12.75">
      <c r="A45" s="11">
        <v>0.014</v>
      </c>
      <c r="B45" s="67">
        <v>0.088</v>
      </c>
      <c r="C45" s="28" t="str">
        <f>COMPLEX($B$2*$B$3-$B45*$B45,$B45*($B$2+$B$3),"j")</f>
        <v>17.853924402744+1.06283561330305j</v>
      </c>
      <c r="D45" s="68">
        <f>$B$6/IMABS($C45)</f>
        <v>0.008766862769770619</v>
      </c>
      <c r="E45" s="68">
        <f t="shared" si="0"/>
        <v>0.0007714839237398145</v>
      </c>
      <c r="F45" s="69">
        <f t="shared" si="1"/>
        <v>6.789058528910367E-05</v>
      </c>
    </row>
    <row r="46" spans="1:6" ht="12.75">
      <c r="A46" s="11">
        <v>0.015</v>
      </c>
      <c r="B46" s="67">
        <v>0.0942</v>
      </c>
      <c r="C46" s="28" t="str">
        <f>COMPLEX($B$2*$B$3-$B46*$B46,$B46*($B$2+$B$3),"j")</f>
        <v>17.852794762744+1.13771721333122j</v>
      </c>
      <c r="D46" s="68">
        <f>$B$6/IMABS($C46)</f>
        <v>0.00876515801506652</v>
      </c>
      <c r="E46" s="68">
        <f t="shared" si="0"/>
        <v>0.0008256778850192662</v>
      </c>
      <c r="F46" s="69">
        <f t="shared" si="1"/>
        <v>7.777885676881488E-05</v>
      </c>
    </row>
    <row r="47" spans="1:6" ht="12.75">
      <c r="A47" s="11">
        <v>0.02</v>
      </c>
      <c r="B47" s="67">
        <v>0.126</v>
      </c>
      <c r="C47" s="28" t="str">
        <f>COMPLEX($B$2*$B$3-$B47*$B47,$B47*($B$2+$B$3),"j")</f>
        <v>17.845792402744+1.52178735541119j</v>
      </c>
      <c r="D47" s="68">
        <f>$B$6/IMABS($C47)</f>
        <v>0.00875461202653562</v>
      </c>
      <c r="E47" s="68">
        <f t="shared" si="0"/>
        <v>0.0011030811153434881</v>
      </c>
      <c r="F47" s="69">
        <f t="shared" si="1"/>
        <v>0.0001389882205332795</v>
      </c>
    </row>
    <row r="48" spans="1:6" ht="12.75">
      <c r="A48" s="11">
        <v>0.03</v>
      </c>
      <c r="B48" s="67">
        <v>0.188</v>
      </c>
      <c r="C48" s="28" t="str">
        <f>COMPLEX($B$2*$B$3-$B48*$B48,$B48*($B$2+$B$3),"j")</f>
        <v>17.826324402744+2.27060335569288j</v>
      </c>
      <c r="D48" s="68">
        <f>$B$6/IMABS($C48)</f>
        <v>0.008725483892564632</v>
      </c>
      <c r="E48" s="68">
        <f t="shared" si="0"/>
        <v>0.001640390971802151</v>
      </c>
      <c r="F48" s="69">
        <f t="shared" si="1"/>
        <v>0.00030839350269880436</v>
      </c>
    </row>
    <row r="49" spans="1:6" ht="12.75">
      <c r="A49" s="11">
        <v>0.04</v>
      </c>
      <c r="B49" s="67">
        <v>0.251</v>
      </c>
      <c r="C49" s="28" t="str">
        <f>COMPLEX($B$2*$B$3-$B49*$B49,$B49*($B$2+$B$3),"j")</f>
        <v>17.798667402744+3.03149703339848j</v>
      </c>
      <c r="D49" s="68">
        <f>$B$6/IMABS($C49)</f>
        <v>0.008684581429409468</v>
      </c>
      <c r="E49" s="68">
        <f t="shared" si="0"/>
        <v>0.0021798299387817766</v>
      </c>
      <c r="F49" s="69">
        <f t="shared" si="1"/>
        <v>0.000547137314634226</v>
      </c>
    </row>
    <row r="50" spans="1:6" ht="12.75">
      <c r="A50" s="11">
        <v>0.05</v>
      </c>
      <c r="B50" s="67">
        <v>0.314</v>
      </c>
      <c r="C50" s="28" t="str">
        <f>COMPLEX($B$2*$B$3-$B50*$B50,$B50*($B$2+$B$3),"j")</f>
        <v>17.763072402744+3.79239071110407j</v>
      </c>
      <c r="D50" s="68">
        <f>$B$6/IMABS($C50)</f>
        <v>0.008632746685502436</v>
      </c>
      <c r="E50" s="68">
        <f t="shared" si="0"/>
        <v>0.002710682459247765</v>
      </c>
      <c r="F50" s="69">
        <f t="shared" si="1"/>
        <v>0.0008511542922037983</v>
      </c>
    </row>
    <row r="51" spans="1:6" ht="12.75">
      <c r="A51" s="11">
        <v>0.06</v>
      </c>
      <c r="B51" s="67">
        <v>0.377</v>
      </c>
      <c r="C51" s="28" t="str">
        <f>COMPLEX($B$2*$B$3-$B51*$B51,$B51*($B$2+$B$3),"j")</f>
        <v>17.719539402744+4.55328438880966j</v>
      </c>
      <c r="D51" s="68">
        <f>$B$6/IMABS($C51)</f>
        <v>0.008570552330897032</v>
      </c>
      <c r="E51" s="68">
        <f t="shared" si="0"/>
        <v>0.0032310982287481814</v>
      </c>
      <c r="F51" s="69">
        <f t="shared" si="1"/>
        <v>0.0012181240322380643</v>
      </c>
    </row>
    <row r="52" spans="1:6" ht="12.75">
      <c r="A52" s="11">
        <v>0.07</v>
      </c>
      <c r="B52" s="67">
        <v>0.44</v>
      </c>
      <c r="C52" s="28" t="str">
        <f>COMPLEX($B$2*$B$3-$B52*$B52,$B52*($B$2+$B$3),"j")</f>
        <v>17.668068402744+5.31417806651526j</v>
      </c>
      <c r="D52" s="68">
        <f>$B$6/IMABS($C52)</f>
        <v>0.008498662093435779</v>
      </c>
      <c r="E52" s="68">
        <f t="shared" si="0"/>
        <v>0.003739411321111743</v>
      </c>
      <c r="F52" s="69">
        <f t="shared" si="1"/>
        <v>0.0016453409812891668</v>
      </c>
    </row>
    <row r="53" spans="1:6" ht="12.75">
      <c r="A53" s="11">
        <v>0.08</v>
      </c>
      <c r="B53" s="67">
        <v>0.503</v>
      </c>
      <c r="C53" s="28" t="str">
        <f>COMPLEX($B$2*$B$3-$B53*$B53,$B53*($B$2+$B$3),"j")</f>
        <v>17.608659402744+6.07507174422085j</v>
      </c>
      <c r="D53" s="68">
        <f>$B$6/IMABS($C53)</f>
        <v>0.008417812151532042</v>
      </c>
      <c r="E53" s="68">
        <f t="shared" si="0"/>
        <v>0.004234159512220617</v>
      </c>
      <c r="F53" s="69">
        <f t="shared" si="1"/>
        <v>0.0021297822346469705</v>
      </c>
    </row>
    <row r="54" spans="1:6" ht="12.75">
      <c r="A54" s="11">
        <v>0.09</v>
      </c>
      <c r="B54" s="67">
        <v>0.565</v>
      </c>
      <c r="C54" s="28" t="str">
        <f>COMPLEX($B$2*$B$3-$B54*$B54,$B54*($B$2+$B$3),"j")</f>
        <v>17.542443402744+6.82388774450254j</v>
      </c>
      <c r="D54" s="68">
        <f>$B$6/IMABS($C54)</f>
        <v>0.008330264435708449</v>
      </c>
      <c r="E54" s="68">
        <f t="shared" si="0"/>
        <v>0.004706599406175273</v>
      </c>
      <c r="F54" s="69">
        <f t="shared" si="1"/>
        <v>0.002659228664489029</v>
      </c>
    </row>
    <row r="55" spans="1:6" ht="12.75">
      <c r="A55" s="11">
        <v>0.1</v>
      </c>
      <c r="B55" s="67">
        <v>0.628</v>
      </c>
      <c r="C55" s="28" t="str">
        <f>COMPLEX($B$2*$B$3-$B55*$B55,$B55*($B$2+$B$3),"j")</f>
        <v>17.467284402744+7.58478142220814j</v>
      </c>
      <c r="D55" s="68">
        <f>$B$6/IMABS($C55)</f>
        <v>0.008234007136420701</v>
      </c>
      <c r="E55" s="68">
        <f t="shared" si="0"/>
        <v>0.0051709564816722</v>
      </c>
      <c r="F55" s="69">
        <f t="shared" si="1"/>
        <v>0.003247360670490142</v>
      </c>
    </row>
    <row r="56" spans="1:6" ht="12.75">
      <c r="A56" s="11">
        <v>0.15</v>
      </c>
      <c r="B56" s="67">
        <v>0.942</v>
      </c>
      <c r="C56" s="28" t="str">
        <f>COMPLEX($B$2*$B$3-$B56*$B56,$B56*($B$2+$B$3),"j")</f>
        <v>16.974304402744+11.3771721333122j</v>
      </c>
      <c r="D56" s="68">
        <f>$B$6/IMABS($C56)</f>
        <v>0.007673313546567455</v>
      </c>
      <c r="E56" s="68">
        <f t="shared" si="0"/>
        <v>0.007228261360866542</v>
      </c>
      <c r="F56" s="69">
        <f t="shared" si="1"/>
        <v>0.0068090222019362824</v>
      </c>
    </row>
    <row r="57" spans="1:6" ht="12.75">
      <c r="A57" s="11">
        <v>0.2</v>
      </c>
      <c r="B57" s="67">
        <v>1.26</v>
      </c>
      <c r="C57" s="28" t="str">
        <f>COMPLEX($B$2*$B$3-$B57*$B57,$B57*($B$2+$B$3),"j")</f>
        <v>16.274068402744+15.2178735541119j</v>
      </c>
      <c r="D57" s="68">
        <f>$B$6/IMABS($C57)</f>
        <v>0.007037485225468052</v>
      </c>
      <c r="E57" s="68">
        <f t="shared" si="0"/>
        <v>0.008867231384089746</v>
      </c>
      <c r="F57" s="69">
        <f t="shared" si="1"/>
        <v>0.01117271154395308</v>
      </c>
    </row>
    <row r="58" spans="1:6" ht="12.75">
      <c r="A58" s="11">
        <v>0.3</v>
      </c>
      <c r="B58" s="67">
        <v>1.88</v>
      </c>
      <c r="C58" s="28" t="str">
        <f>COMPLEX($B$2*$B$3-$B58*$B58,$B58*($B$2+$B$3),"j")</f>
        <v>14.327268402744+22.7060335569288j</v>
      </c>
      <c r="D58" s="68">
        <f>$B$6/IMABS($C58)</f>
        <v>0.005840207156800588</v>
      </c>
      <c r="E58" s="68">
        <f t="shared" si="0"/>
        <v>0.010979589454785105</v>
      </c>
      <c r="F58" s="69">
        <f t="shared" si="1"/>
        <v>0.020641628174995996</v>
      </c>
    </row>
    <row r="59" spans="1:6" ht="12.75">
      <c r="A59" s="11">
        <v>0.4</v>
      </c>
      <c r="B59" s="67">
        <v>2.51</v>
      </c>
      <c r="C59" s="28" t="str">
        <f>COMPLEX($B$2*$B$3-$B59*$B59,$B59*($B$2+$B$3),"j")</f>
        <v>11.561568402744+30.3149703339848j</v>
      </c>
      <c r="D59" s="68">
        <f>$B$6/IMABS($C59)</f>
        <v>0.004832818600482565</v>
      </c>
      <c r="E59" s="68">
        <f t="shared" si="0"/>
        <v>0.012130374687211237</v>
      </c>
      <c r="F59" s="69">
        <f t="shared" si="1"/>
        <v>0.030447240464900202</v>
      </c>
    </row>
    <row r="60" spans="1:6" ht="12.75">
      <c r="A60" s="11">
        <v>0.5</v>
      </c>
      <c r="B60" s="67">
        <v>3.14</v>
      </c>
      <c r="C60" s="28" t="str">
        <f>COMPLEX($B$2*$B$3-$B60*$B60,$B60*($B$2+$B$3),"j")</f>
        <v>8.00206840274403+37.9239071110407j</v>
      </c>
      <c r="D60" s="68">
        <f>$B$6/IMABS($C60)</f>
        <v>0.0040455177349494765</v>
      </c>
      <c r="E60" s="68">
        <f t="shared" si="0"/>
        <v>0.012702925687741357</v>
      </c>
      <c r="F60" s="69">
        <f t="shared" si="1"/>
        <v>0.03988718665950786</v>
      </c>
    </row>
    <row r="61" spans="1:6" ht="12.75">
      <c r="A61" s="11">
        <v>0.6</v>
      </c>
      <c r="B61" s="67">
        <v>3.77</v>
      </c>
      <c r="C61" s="28" t="str">
        <f>COMPLEX($B$2*$B$3-$B61*$B61,$B61*($B$2+$B$3),"j")</f>
        <v>3.64876840274403+45.5328438880966j</v>
      </c>
      <c r="D61" s="68">
        <f>$B$6/IMABS($C61)</f>
        <v>0.003432664100880778</v>
      </c>
      <c r="E61" s="68">
        <f t="shared" si="0"/>
        <v>0.012941143660320533</v>
      </c>
      <c r="F61" s="69">
        <f t="shared" si="1"/>
        <v>0.04878811159940841</v>
      </c>
    </row>
    <row r="62" spans="1:6" ht="12.75">
      <c r="A62" s="11">
        <v>0.7</v>
      </c>
      <c r="B62" s="67">
        <v>4.4</v>
      </c>
      <c r="C62" s="28" t="str">
        <f>COMPLEX($B$2*$B$3-$B62*$B62,$B62*($B$2+$B$3),"j")</f>
        <v>-1.49833159725598+53.1417806651526j</v>
      </c>
      <c r="D62" s="68">
        <f>$B$6/IMABS($C62)</f>
        <v>0.0029494253022587214</v>
      </c>
      <c r="E62" s="68">
        <f t="shared" si="0"/>
        <v>0.012977471329938376</v>
      </c>
      <c r="F62" s="69">
        <f t="shared" si="1"/>
        <v>0.05710087385172886</v>
      </c>
    </row>
    <row r="63" spans="1:6" ht="12.75">
      <c r="A63" s="11">
        <v>0.8</v>
      </c>
      <c r="B63" s="67">
        <v>5.03</v>
      </c>
      <c r="C63" s="28" t="str">
        <f>COMPLEX($B$2*$B$3-$B63*$B63,$B63*($B$2+$B$3),"j")</f>
        <v>-7.43923159725598+60.7507174422085j</v>
      </c>
      <c r="D63" s="68">
        <f>$B$6/IMABS($C63)</f>
        <v>0.0025619027805284128</v>
      </c>
      <c r="E63" s="68">
        <f t="shared" si="0"/>
        <v>0.012886370986057917</v>
      </c>
      <c r="F63" s="69">
        <f t="shared" si="1"/>
        <v>0.06481844605987133</v>
      </c>
    </row>
    <row r="64" spans="1:6" ht="12.75">
      <c r="A64" s="11">
        <v>0.9</v>
      </c>
      <c r="B64" s="67">
        <v>5.65</v>
      </c>
      <c r="C64" s="28" t="str">
        <f>COMPLEX($B$2*$B$3-$B64*$B64,$B64*($B$2+$B$3),"j")</f>
        <v>-14.060831597256+68.2388774450255j</v>
      </c>
      <c r="D64" s="68">
        <f>$B$6/IMABS($C64)</f>
        <v>0.002250530624039832</v>
      </c>
      <c r="E64" s="68">
        <f t="shared" si="0"/>
        <v>0.012715498025825053</v>
      </c>
      <c r="F64" s="69">
        <f t="shared" si="1"/>
        <v>0.07184256384591155</v>
      </c>
    </row>
    <row r="65" spans="1:6" ht="12.75">
      <c r="A65" s="11">
        <v>1</v>
      </c>
      <c r="B65" s="67">
        <v>6.28</v>
      </c>
      <c r="C65" s="28" t="str">
        <f>COMPLEX($B$2*$B$3-$B65*$B65,$B65*($B$2+$B$3),"j")</f>
        <v>-21.576731597256+75.8478142220814j</v>
      </c>
      <c r="D65" s="68">
        <f>$B$6/IMABS($C65)</f>
        <v>0.001988406230519805</v>
      </c>
      <c r="E65" s="68">
        <f t="shared" si="0"/>
        <v>0.012487191127664376</v>
      </c>
      <c r="F65" s="69">
        <f t="shared" si="1"/>
        <v>0.07841956028173228</v>
      </c>
    </row>
    <row r="66" spans="1:6" ht="12.75">
      <c r="A66" s="11">
        <v>1.5</v>
      </c>
      <c r="B66" s="67">
        <v>9.42</v>
      </c>
      <c r="C66" s="28" t="str">
        <f>COMPLEX($B$2*$B$3-$B66*$B66,$B66*($B$2+$B$3),"j")</f>
        <v>-70.874731597256+113.771721333122j</v>
      </c>
      <c r="D66" s="68">
        <f>$B$6/IMABS($C66)</f>
        <v>0.0011697834391369935</v>
      </c>
      <c r="E66" s="68">
        <f t="shared" si="0"/>
        <v>0.011019359996670478</v>
      </c>
      <c r="F66" s="69">
        <f t="shared" si="1"/>
        <v>0.1038023711686359</v>
      </c>
    </row>
    <row r="67" spans="1:6" ht="12.75">
      <c r="A67" s="11">
        <v>2</v>
      </c>
      <c r="B67" s="67">
        <v>12.6</v>
      </c>
      <c r="C67" s="28" t="str">
        <f>COMPLEX($B$2*$B$3-$B67*$B67,$B67*($B$2+$B$3),"j")</f>
        <v>-140.898331597256+152.178735541119j</v>
      </c>
      <c r="D67" s="68">
        <f>$B$6/IMABS($C67)</f>
        <v>0.0007560626177294949</v>
      </c>
      <c r="E67" s="68">
        <f t="shared" si="0"/>
        <v>0.009526388983391636</v>
      </c>
      <c r="F67" s="69">
        <f t="shared" si="1"/>
        <v>0.12003250119073461</v>
      </c>
    </row>
    <row r="68" spans="1:6" ht="12.75">
      <c r="A68" s="11">
        <v>3</v>
      </c>
      <c r="B68" s="67">
        <v>18.8</v>
      </c>
      <c r="C68" s="28" t="str">
        <f>COMPLEX($B$2*$B$3-$B68*$B68,$B68*($B$2+$B$3),"j")</f>
        <v>-335.578331597256+227.060335569288j</v>
      </c>
      <c r="D68" s="68">
        <f>$B$6/IMABS($C68)</f>
        <v>0.0003869904080427225</v>
      </c>
      <c r="E68" s="68">
        <f t="shared" si="0"/>
        <v>0.007275419671203182</v>
      </c>
      <c r="F68" s="69">
        <f t="shared" si="1"/>
        <v>0.13677788981861982</v>
      </c>
    </row>
    <row r="69" spans="1:6" ht="12.75">
      <c r="A69" s="11">
        <v>4</v>
      </c>
      <c r="B69" s="67">
        <v>25.1</v>
      </c>
      <c r="C69" s="28" t="str">
        <f>COMPLEX($B$2*$B$3-$B69*$B69,$B69*($B$2+$B$3),"j")</f>
        <v>-612.148331597256+303.149703339848j</v>
      </c>
      <c r="D69" s="68">
        <f>$B$6/IMABS($C69)</f>
        <v>0.00022954186546947516</v>
      </c>
      <c r="E69" s="68">
        <f t="shared" si="0"/>
        <v>0.005761500823283827</v>
      </c>
      <c r="F69" s="69">
        <f t="shared" si="1"/>
        <v>0.14461367066442407</v>
      </c>
    </row>
    <row r="70" spans="1:6" ht="12.75">
      <c r="A70" s="11">
        <v>5</v>
      </c>
      <c r="B70" s="67">
        <v>31.4</v>
      </c>
      <c r="C70" s="28" t="str">
        <f>COMPLEX($B$2*$B$3-$B70*$B70,$B70*($B$2+$B$3),"j")</f>
        <v>-968.098331597256+379.239071110407j</v>
      </c>
      <c r="D70" s="68">
        <f>$B$6/IMABS($C70)</f>
        <v>0.00015080850990777705</v>
      </c>
      <c r="E70" s="68">
        <f t="shared" si="0"/>
        <v>0.004735387211104199</v>
      </c>
      <c r="F70" s="69">
        <f t="shared" si="1"/>
        <v>0.14869115842867184</v>
      </c>
    </row>
    <row r="71" spans="1:6" ht="12.75">
      <c r="A71" s="11">
        <v>6</v>
      </c>
      <c r="B71" s="67">
        <v>37.7</v>
      </c>
      <c r="C71" s="28" t="str">
        <f>COMPLEX($B$2*$B$3-$B71*$B71,$B71*($B$2+$B$3),"j")</f>
        <v>-1403.42833159726+455.328438880966j</v>
      </c>
      <c r="D71" s="68">
        <f>$B$6/IMABS($C71)</f>
        <v>0.0001062730929844038</v>
      </c>
      <c r="E71" s="68">
        <f t="shared" si="0"/>
        <v>0.004006495605512024</v>
      </c>
      <c r="F71" s="69">
        <f t="shared" si="1"/>
        <v>0.1510448843278033</v>
      </c>
    </row>
    <row r="72" spans="1:6" ht="12.75">
      <c r="A72" s="11">
        <v>7</v>
      </c>
      <c r="B72" s="67">
        <v>44</v>
      </c>
      <c r="C72" s="28" t="str">
        <f>COMPLEX($B$2*$B$3-$B72*$B72,$B72*($B$2+$B$3),"j")</f>
        <v>-1918.13833159726+531.417806651526j</v>
      </c>
      <c r="D72" s="68">
        <f>$B$6/IMABS($C72)</f>
        <v>7.877845933067722E-05</v>
      </c>
      <c r="E72" s="68">
        <f t="shared" si="0"/>
        <v>0.0034662522105497976</v>
      </c>
      <c r="F72" s="69">
        <f t="shared" si="1"/>
        <v>0.1525150972641911</v>
      </c>
    </row>
    <row r="73" spans="1:6" ht="12.75">
      <c r="A73" s="11">
        <v>8</v>
      </c>
      <c r="B73" s="67">
        <v>50.3</v>
      </c>
      <c r="C73" s="28" t="str">
        <f>COMPLEX($B$2*$B$3-$B73*$B73,$B73*($B$2+$B$3),"j")</f>
        <v>-2512.22833159726+607.507174422085j</v>
      </c>
      <c r="D73" s="68">
        <f>$B$6/IMABS($C73)</f>
        <v>6.066612418665755E-05</v>
      </c>
      <c r="E73" s="68">
        <f t="shared" si="0"/>
        <v>0.0030515060465888745</v>
      </c>
      <c r="F73" s="69">
        <f t="shared" si="1"/>
        <v>0.15349075414342037</v>
      </c>
    </row>
    <row r="74" spans="1:6" ht="12.75">
      <c r="A74" s="11">
        <v>9</v>
      </c>
      <c r="B74" s="67">
        <v>56.5</v>
      </c>
      <c r="C74" s="28" t="str">
        <f>COMPLEX($B$2*$B$3-$B74*$B74,$B74*($B$2+$B$3),"j")</f>
        <v>-3174.38833159726+682.388774450254j</v>
      </c>
      <c r="D74" s="68">
        <f>$B$6/IMABS($C74)</f>
        <v>4.8292134487691496E-05</v>
      </c>
      <c r="E74" s="68">
        <f t="shared" si="0"/>
        <v>0.0027285055985545696</v>
      </c>
      <c r="F74" s="69">
        <f t="shared" si="1"/>
        <v>0.1541605663183332</v>
      </c>
    </row>
    <row r="75" spans="1:6" ht="12.75">
      <c r="A75" s="11">
        <v>10</v>
      </c>
      <c r="B75" s="67">
        <v>62.8</v>
      </c>
      <c r="C75" s="28" t="str">
        <f>COMPLEX($B$2*$B$3-$B75*$B75,$B75*($B$2+$B$3),"j")</f>
        <v>-3925.97833159726+758.478142220814j</v>
      </c>
      <c r="D75" s="68">
        <f>$B$6/IMABS($C75)</f>
        <v>3.921397865690883E-05</v>
      </c>
      <c r="E75" s="68">
        <f t="shared" si="0"/>
        <v>0.0024626378596538743</v>
      </c>
      <c r="F75" s="69">
        <f t="shared" si="1"/>
        <v>0.1546536575862633</v>
      </c>
    </row>
    <row r="76" spans="1:6" ht="12.75">
      <c r="A76" s="11">
        <v>15</v>
      </c>
      <c r="B76" s="67">
        <v>94.2</v>
      </c>
      <c r="C76" s="28" t="str">
        <f>COMPLEX($B$2*$B$3-$B76*$B76,$B76*($B$2+$B$3),"j")</f>
        <v>-8855.77833159726+1137.71721333122j</v>
      </c>
      <c r="D76" s="68">
        <f>$B$6/IMABS($C76)</f>
        <v>1.7561619544314255E-05</v>
      </c>
      <c r="E76" s="68">
        <f t="shared" si="0"/>
        <v>0.0016543045610744028</v>
      </c>
      <c r="F76" s="69">
        <f t="shared" si="1"/>
        <v>0.15583548965320873</v>
      </c>
    </row>
    <row r="77" spans="1:6" ht="12.75">
      <c r="A77" s="11">
        <v>20</v>
      </c>
      <c r="B77" s="67">
        <v>126</v>
      </c>
      <c r="C77" s="28" t="str">
        <f>COMPLEX($B$2*$B$3-$B77*$B77,$B77*($B$2+$B$3),"j")</f>
        <v>-15858.1383315973+1521.78735541119j</v>
      </c>
      <c r="D77" s="68">
        <f>$B$6/IMABS($C77)</f>
        <v>9.842452777126276E-06</v>
      </c>
      <c r="E77" s="68">
        <f t="shared" si="0"/>
        <v>0.0012401490499179108</v>
      </c>
      <c r="F77" s="69">
        <f t="shared" si="1"/>
        <v>0.15625878028965676</v>
      </c>
    </row>
    <row r="78" spans="1:6" ht="12.75">
      <c r="A78" s="11">
        <v>30</v>
      </c>
      <c r="B78" s="67">
        <v>188</v>
      </c>
      <c r="C78" s="28" t="str">
        <f>COMPLEX($B$2*$B$3-$B78*$B78,$B78*($B$2+$B$3),"j")</f>
        <v>-35326.1383315973+2270.60335569288j</v>
      </c>
      <c r="D78" s="68">
        <f>$B$6/IMABS($C78)</f>
        <v>4.4294992608885E-06</v>
      </c>
      <c r="E78" s="68">
        <f t="shared" si="0"/>
        <v>0.000832745861047038</v>
      </c>
      <c r="F78" s="69">
        <f t="shared" si="1"/>
        <v>0.15655622187684315</v>
      </c>
    </row>
    <row r="79" spans="1:6" ht="12.75">
      <c r="A79" s="11">
        <v>40</v>
      </c>
      <c r="B79" s="67">
        <v>251</v>
      </c>
      <c r="C79" s="28" t="str">
        <f>COMPLEX($B$2*$B$3-$B79*$B79,$B79*($B$2+$B$3),"j")</f>
        <v>-62983.1383315973+3031.49703339848j</v>
      </c>
      <c r="D79" s="68">
        <f>$B$6/IMABS($C79)</f>
        <v>2.486676459030135E-06</v>
      </c>
      <c r="E79" s="68">
        <f t="shared" si="0"/>
        <v>0.0006241557912165639</v>
      </c>
      <c r="F79" s="69">
        <f t="shared" si="1"/>
        <v>0.15666310359535754</v>
      </c>
    </row>
    <row r="80" spans="1:6" ht="12.75">
      <c r="A80" s="11">
        <v>50</v>
      </c>
      <c r="B80" s="67">
        <v>314</v>
      </c>
      <c r="C80" s="28" t="str">
        <f>COMPLEX($B$2*$B$3-$B80*$B80,$B80*($B$2+$B$3),"j")</f>
        <v>-98578.1383315972+3792.39071110407j</v>
      </c>
      <c r="D80" s="68">
        <f>$B$6/IMABS($C80)</f>
        <v>1.5894406045127384E-06</v>
      </c>
      <c r="E80" s="68">
        <f t="shared" si="0"/>
        <v>0.0004990843498169998</v>
      </c>
      <c r="F80" s="69">
        <f t="shared" si="1"/>
        <v>0.15671248584253794</v>
      </c>
    </row>
    <row r="81" spans="1:6" ht="12.75">
      <c r="A81" s="11">
        <v>60</v>
      </c>
      <c r="B81" s="67">
        <v>377</v>
      </c>
      <c r="C81" s="28" t="str">
        <f>COMPLEX($B$2*$B$3-$B81*$B81,$B81*($B$2+$B$3),"j")</f>
        <v>-142111.138331597+4553.28438880966j</v>
      </c>
      <c r="D81" s="68">
        <f>$B$6/IMABS($C81)</f>
        <v>1.102795880650911E-06</v>
      </c>
      <c r="E81" s="68">
        <f t="shared" si="0"/>
        <v>0.00041575404700539345</v>
      </c>
      <c r="F81" s="69">
        <f t="shared" si="1"/>
        <v>0.15673927572103333</v>
      </c>
    </row>
    <row r="82" spans="1:6" ht="12.75">
      <c r="A82" s="11">
        <v>70</v>
      </c>
      <c r="B82" s="67">
        <v>440</v>
      </c>
      <c r="C82" s="28" t="str">
        <f>COMPLEX($B$2*$B$3-$B82*$B82,$B82*($B$2+$B$3),"j")</f>
        <v>-193582.138331597+5314.17806651526j</v>
      </c>
      <c r="D82" s="68">
        <f>$B$6/IMABS($C82)</f>
        <v>8.096870526450875E-07</v>
      </c>
      <c r="E82" s="68">
        <f t="shared" si="0"/>
        <v>0.0003562623031638385</v>
      </c>
      <c r="F82" s="69">
        <f t="shared" si="1"/>
        <v>0.15675541339208893</v>
      </c>
    </row>
    <row r="83" spans="1:6" ht="12.75">
      <c r="A83" s="11">
        <v>80</v>
      </c>
      <c r="B83" s="67">
        <v>503</v>
      </c>
      <c r="C83" s="28" t="str">
        <f>COMPLEX($B$2*$B$3-$B83*$B83,$B83*($B$2+$B$3),"j")</f>
        <v>-252991.138331597+6075.07174422085j</v>
      </c>
      <c r="D83" s="68">
        <f>$B$6/IMABS($C83)</f>
        <v>6.196059407715729E-07</v>
      </c>
      <c r="E83" s="68">
        <f t="shared" si="0"/>
        <v>0.0003116617882081012</v>
      </c>
      <c r="F83" s="69">
        <f t="shared" si="1"/>
        <v>0.1567658794686749</v>
      </c>
    </row>
    <row r="84" spans="1:6" ht="12.75">
      <c r="A84" s="11">
        <v>90</v>
      </c>
      <c r="B84" s="67">
        <v>565</v>
      </c>
      <c r="C84" s="28" t="str">
        <f>COMPLEX($B$2*$B$3-$B84*$B84,$B84*($B$2+$B$3),"j")</f>
        <v>-319207.138331597+6823.88774450254j</v>
      </c>
      <c r="D84" s="68">
        <f>$B$6/IMABS($C84)</f>
        <v>4.911048797360608E-07</v>
      </c>
      <c r="E84" s="68">
        <f t="shared" si="0"/>
        <v>0.00027747425705087434</v>
      </c>
      <c r="F84" s="69">
        <f t="shared" si="1"/>
        <v>0.15677295523374402</v>
      </c>
    </row>
    <row r="85" spans="1:6" ht="12.75">
      <c r="A85" s="11">
        <v>100</v>
      </c>
      <c r="B85" s="67">
        <v>628</v>
      </c>
      <c r="C85" s="28" t="str">
        <f>COMPLEX($B$2*$B$3-$B85*$B85,$B85*($B$2+$B$3),"j")</f>
        <v>-394366.138331597+7584.78142220814j</v>
      </c>
      <c r="D85" s="68">
        <f>$B$6/IMABS($C85)</f>
        <v>3.975265431622131E-07</v>
      </c>
      <c r="E85" s="68">
        <f t="shared" si="0"/>
        <v>0.00024964666910586985</v>
      </c>
      <c r="F85" s="69">
        <f t="shared" si="1"/>
        <v>0.15677810819848625</v>
      </c>
    </row>
    <row r="86" spans="1:6" ht="12.75">
      <c r="A86" s="11">
        <v>150</v>
      </c>
      <c r="B86" s="67">
        <v>942</v>
      </c>
      <c r="C86" s="28" t="str">
        <f>COMPLEX($B$2*$B$3-$B86*$B86,$B86*($B$2+$B$3),"j")</f>
        <v>-887346.138331597+11377.1721333122j</v>
      </c>
      <c r="D86" s="68">
        <f>$B$6/IMABS($C86)</f>
        <v>1.7669216828497283E-07</v>
      </c>
      <c r="E86" s="68">
        <f aca="true" t="shared" si="2" ref="E86:E95">$D86*$B86</f>
        <v>0.0001664440225244444</v>
      </c>
      <c r="F86" s="69">
        <f aca="true" t="shared" si="3" ref="F86:F95">$E86*$B86</f>
        <v>0.15679026921802663</v>
      </c>
    </row>
    <row r="87" spans="1:6" ht="12.75">
      <c r="A87" s="11">
        <v>200</v>
      </c>
      <c r="B87" s="67">
        <v>1260</v>
      </c>
      <c r="C87" s="28" t="str">
        <f>COMPLEX($B$2*$B$3-$B87*$B87,$B87*($B$2+$B$3),"j")</f>
        <v>-1587582.1383316+15217.8735541119j</v>
      </c>
      <c r="D87" s="68">
        <f>$B$6/IMABS($C87)</f>
        <v>9.876200612073931E-08</v>
      </c>
      <c r="E87" s="68">
        <f t="shared" si="2"/>
        <v>0.00012444012771213153</v>
      </c>
      <c r="F87" s="69">
        <f t="shared" si="3"/>
        <v>0.15679456091728572</v>
      </c>
    </row>
    <row r="88" spans="1:6" ht="12.75">
      <c r="A88" s="11">
        <v>300</v>
      </c>
      <c r="B88" s="67">
        <v>1880</v>
      </c>
      <c r="C88" s="28" t="str">
        <f>COMPLEX($B$2*$B$3-$B88*$B88,$B88*($B$2+$B$3),"j")</f>
        <v>-3534382.1383316+22706.0335569288j</v>
      </c>
      <c r="D88" s="68">
        <f>$B$6/IMABS($C88)</f>
        <v>4.436327432583721E-08</v>
      </c>
      <c r="E88" s="68">
        <f t="shared" si="2"/>
        <v>8.340295573257396E-05</v>
      </c>
      <c r="F88" s="69">
        <f t="shared" si="3"/>
        <v>0.15679755677723906</v>
      </c>
    </row>
    <row r="89" spans="1:6" ht="12.75">
      <c r="A89" s="11">
        <v>400</v>
      </c>
      <c r="B89" s="67">
        <v>2510</v>
      </c>
      <c r="C89" s="28" t="str">
        <f>COMPLEX($B$2*$B$3-$B89*$B89,$B89*($B$2+$B$3),"j")</f>
        <v>-6300082.1383316+30314.9703339848j</v>
      </c>
      <c r="D89" s="68">
        <f>$B$6/IMABS($C89)</f>
        <v>2.488827626885856E-08</v>
      </c>
      <c r="E89" s="68">
        <f t="shared" si="2"/>
        <v>6.246957343483499E-05</v>
      </c>
      <c r="F89" s="69">
        <f t="shared" si="3"/>
        <v>0.15679862932143582</v>
      </c>
    </row>
    <row r="90" spans="1:6" ht="12.75">
      <c r="A90" s="11">
        <v>500</v>
      </c>
      <c r="B90" s="67">
        <v>3140</v>
      </c>
      <c r="C90" s="28" t="str">
        <f>COMPLEX($B$2*$B$3-$B90*$B90,$B90*($B$2+$B$3),"j")</f>
        <v>-9859582.1383316+37923.9071110407j</v>
      </c>
      <c r="D90" s="68">
        <f>$B$6/IMABS($C90)</f>
        <v>1.5903193249019437E-08</v>
      </c>
      <c r="E90" s="68">
        <f t="shared" si="2"/>
        <v>4.993602680192103E-05</v>
      </c>
      <c r="F90" s="69">
        <f t="shared" si="3"/>
        <v>0.15679912415803204</v>
      </c>
    </row>
    <row r="91" spans="1:6" ht="12.75">
      <c r="A91" s="11">
        <v>600</v>
      </c>
      <c r="B91" s="67">
        <v>3770</v>
      </c>
      <c r="C91" s="28" t="str">
        <f>COMPLEX($B$2*$B$3-$B91*$B91,$B91*($B$2+$B$3),"j")</f>
        <v>-14212882.1383316+45532.8438880966j</v>
      </c>
      <c r="D91" s="68">
        <f>$B$6/IMABS($C91)</f>
        <v>1.1032188534364239E-08</v>
      </c>
      <c r="E91" s="68">
        <f t="shared" si="2"/>
        <v>4.159135077455318E-05</v>
      </c>
      <c r="F91" s="69">
        <f t="shared" si="3"/>
        <v>0.1567993924200655</v>
      </c>
    </row>
    <row r="92" spans="1:6" ht="12.75">
      <c r="A92" s="11">
        <v>700</v>
      </c>
      <c r="B92" s="67">
        <v>4400</v>
      </c>
      <c r="C92" s="28" t="str">
        <f>COMPLEX($B$2*$B$3-$B92*$B92,$B92*($B$2+$B$3),"j")</f>
        <v>-19359982.1383316+53141.7806651526j</v>
      </c>
      <c r="D92" s="68">
        <f>$B$6/IMABS($C92)</f>
        <v>8.099150514059065E-09</v>
      </c>
      <c r="E92" s="68">
        <f t="shared" si="2"/>
        <v>3.563626226185988E-05</v>
      </c>
      <c r="F92" s="69">
        <f t="shared" si="3"/>
        <v>0.15679955395218348</v>
      </c>
    </row>
    <row r="93" spans="1:6" ht="12.75">
      <c r="A93" s="11">
        <v>800</v>
      </c>
      <c r="B93" s="67">
        <v>5030</v>
      </c>
      <c r="C93" s="28" t="str">
        <f>COMPLEX($B$2*$B$3-$B93*$B93,$B93*($B$2+$B$3),"j")</f>
        <v>-25300882.1383316+60750.7174422085j</v>
      </c>
      <c r="D93" s="68">
        <f>$B$6/IMABS($C93)</f>
        <v>6.197394507241441E-09</v>
      </c>
      <c r="E93" s="68">
        <f t="shared" si="2"/>
        <v>3.117289437142445E-05</v>
      </c>
      <c r="F93" s="69">
        <f t="shared" si="3"/>
        <v>0.15679965868826495</v>
      </c>
    </row>
    <row r="94" spans="1:6" ht="12.75">
      <c r="A94" s="11">
        <v>900</v>
      </c>
      <c r="B94" s="67">
        <v>5650</v>
      </c>
      <c r="C94" s="28" t="str">
        <f>COMPLEX($B$2*$B$3-$B94*$B94,$B94*($B$2+$B$3),"j")</f>
        <v>-31922482.1383316+68238.8774450255j</v>
      </c>
      <c r="D94" s="68">
        <f>$B$6/IMABS($C94)</f>
        <v>4.911887524018527E-09</v>
      </c>
      <c r="E94" s="68">
        <f t="shared" si="2"/>
        <v>2.7752164510704675E-05</v>
      </c>
      <c r="F94" s="69">
        <f t="shared" si="3"/>
        <v>0.1567997294854814</v>
      </c>
    </row>
    <row r="95" spans="1:6" ht="13.5" thickBot="1">
      <c r="A95" s="13">
        <v>1000</v>
      </c>
      <c r="B95" s="56">
        <v>6280</v>
      </c>
      <c r="C95" s="30" t="str">
        <f>COMPLEX($B$2*$B$3-$B95*$B95,$B95*($B$2+$B$3),"j")</f>
        <v>-39438382.1383316+75847.8142220814j</v>
      </c>
      <c r="D95" s="70">
        <f>$B$6/IMABS($C95)</f>
        <v>3.9758149681067264E-09</v>
      </c>
      <c r="E95" s="70">
        <f t="shared" si="2"/>
        <v>2.4968117999710242E-05</v>
      </c>
      <c r="F95" s="71">
        <f t="shared" si="3"/>
        <v>0.15679978103818032</v>
      </c>
    </row>
    <row r="96" spans="2:6" ht="13.5" thickBot="1">
      <c r="B96" s="27"/>
      <c r="D96" s="48"/>
      <c r="E96" s="48"/>
      <c r="F96" s="48"/>
    </row>
    <row r="97" spans="1:6" ht="13.5" thickBot="1">
      <c r="A97" s="159" t="s">
        <v>118</v>
      </c>
      <c r="B97" s="160"/>
      <c r="C97" s="160"/>
      <c r="D97" s="160"/>
      <c r="E97" s="160"/>
      <c r="F97" s="161"/>
    </row>
    <row r="98" spans="1:8" ht="12.75">
      <c r="A98" s="50">
        <f>$B$4</f>
        <v>0.2746031518689721</v>
      </c>
      <c r="B98" s="162" t="s">
        <v>120</v>
      </c>
      <c r="C98" s="151" t="s">
        <v>142</v>
      </c>
      <c r="D98" s="53">
        <f>D106</f>
        <v>0.008778575240816325</v>
      </c>
      <c r="E98" s="53">
        <f>E106/5</f>
        <v>0.00302928</v>
      </c>
      <c r="F98" s="54">
        <f>MAX(F$21:F$95)</f>
        <v>0.15679978103818032</v>
      </c>
      <c r="G98" s="58"/>
      <c r="H98" s="29"/>
    </row>
    <row r="99" spans="1:8" ht="13.5" thickBot="1">
      <c r="A99" s="52">
        <f>$B$4</f>
        <v>0.2746031518689721</v>
      </c>
      <c r="B99" s="163"/>
      <c r="C99" s="153"/>
      <c r="D99" s="61">
        <f>D98/100</f>
        <v>8.778575240816325E-05</v>
      </c>
      <c r="E99" s="61">
        <f>E106*5</f>
        <v>0.07573200000000001</v>
      </c>
      <c r="F99" s="62">
        <f>F106/5</f>
        <v>0.005226666666666668</v>
      </c>
      <c r="G99" s="58"/>
      <c r="H99" s="29"/>
    </row>
    <row r="100" spans="1:8" ht="12.75">
      <c r="A100" s="50">
        <f>$B$5</f>
        <v>1.6476189112138324</v>
      </c>
      <c r="B100" s="164" t="s">
        <v>119</v>
      </c>
      <c r="C100" s="151" t="s">
        <v>143</v>
      </c>
      <c r="D100" s="4">
        <f>MAX(D$21:D$95)</f>
        <v>0.00877857464317348</v>
      </c>
      <c r="E100" s="4">
        <f>E107/5</f>
        <v>0.00302928</v>
      </c>
      <c r="F100" s="55">
        <f>F107*5</f>
        <v>0.7840000000000001</v>
      </c>
      <c r="G100" s="58"/>
      <c r="H100" s="29"/>
    </row>
    <row r="101" spans="1:8" ht="13.5" thickBot="1">
      <c r="A101" s="52">
        <f>$B$5</f>
        <v>1.6476189112138324</v>
      </c>
      <c r="B101" s="163"/>
      <c r="C101" s="153"/>
      <c r="D101" s="61">
        <f>D100/100</f>
        <v>8.778574643173481E-05</v>
      </c>
      <c r="E101" s="61">
        <f>E107*5</f>
        <v>0.07573200000000001</v>
      </c>
      <c r="F101" s="62">
        <f>F109/5</f>
        <v>0.031360000000000006</v>
      </c>
      <c r="G101" s="58"/>
      <c r="H101" s="29"/>
    </row>
    <row r="102" ht="13.5" thickBot="1"/>
    <row r="103" spans="1:6" ht="13.5" thickBot="1">
      <c r="A103" s="159" t="s">
        <v>124</v>
      </c>
      <c r="B103" s="160"/>
      <c r="C103" s="160"/>
      <c r="D103" s="160"/>
      <c r="E103" s="160"/>
      <c r="F103" s="161"/>
    </row>
    <row r="104" spans="1:6" ht="15">
      <c r="A104" s="50">
        <f>$B$4/4</f>
        <v>0.06865078796724303</v>
      </c>
      <c r="B104" s="59" t="s">
        <v>138</v>
      </c>
      <c r="C104" s="151" t="s">
        <v>139</v>
      </c>
      <c r="D104" s="53">
        <f>$B$8</f>
        <v>0.008778575240816325</v>
      </c>
      <c r="E104" s="53">
        <f>E105*A104/A105</f>
        <v>0.0037866</v>
      </c>
      <c r="F104" s="54">
        <f>F105*A104*A104/A105/A105</f>
        <v>0.0016333333333333336</v>
      </c>
    </row>
    <row r="105" spans="1:6" ht="15.75" thickBot="1">
      <c r="A105" s="52">
        <f>$B$4</f>
        <v>0.2746031518689721</v>
      </c>
      <c r="B105" s="60" t="s">
        <v>137</v>
      </c>
      <c r="C105" s="153"/>
      <c r="D105" s="38">
        <f>$B$8</f>
        <v>0.008778575240816325</v>
      </c>
      <c r="E105" s="38">
        <f>E106</f>
        <v>0.0151464</v>
      </c>
      <c r="F105" s="57">
        <f>F106</f>
        <v>0.02613333333333334</v>
      </c>
    </row>
    <row r="106" spans="1:6" ht="15">
      <c r="A106" s="50">
        <f>$B$4</f>
        <v>0.2746031518689721</v>
      </c>
      <c r="B106" s="59" t="s">
        <v>137</v>
      </c>
      <c r="C106" s="151" t="s">
        <v>140</v>
      </c>
      <c r="D106" s="53">
        <f>D105</f>
        <v>0.008778575240816325</v>
      </c>
      <c r="E106" s="53">
        <f>$B$7</f>
        <v>0.0151464</v>
      </c>
      <c r="F106" s="54">
        <f>F108*A106/A107</f>
        <v>0.02613333333333334</v>
      </c>
    </row>
    <row r="107" spans="1:6" ht="15.75" thickBot="1">
      <c r="A107" s="52">
        <f>$B$5</f>
        <v>1.6476189112138324</v>
      </c>
      <c r="B107" s="63" t="s">
        <v>136</v>
      </c>
      <c r="C107" s="153"/>
      <c r="D107" s="38">
        <f>D105*A106/A107</f>
        <v>0.001463095873469388</v>
      </c>
      <c r="E107" s="38">
        <f>$B$7</f>
        <v>0.0151464</v>
      </c>
      <c r="F107" s="57">
        <f>F108</f>
        <v>0.15680000000000002</v>
      </c>
    </row>
    <row r="108" spans="1:6" ht="15">
      <c r="A108" s="50">
        <f>$B$5</f>
        <v>1.6476189112138324</v>
      </c>
      <c r="B108" s="108" t="s">
        <v>136</v>
      </c>
      <c r="C108" s="151" t="s">
        <v>141</v>
      </c>
      <c r="D108" s="53">
        <f>D107</f>
        <v>0.001463095873469388</v>
      </c>
      <c r="E108" s="53">
        <f>E107</f>
        <v>0.0151464</v>
      </c>
      <c r="F108" s="54">
        <f>$B$6</f>
        <v>0.15680000000000002</v>
      </c>
    </row>
    <row r="109" spans="1:6" ht="15.75" thickBot="1">
      <c r="A109" s="109">
        <f>4*$B$5</f>
        <v>6.59047564485533</v>
      </c>
      <c r="B109" s="110" t="s">
        <v>135</v>
      </c>
      <c r="C109" s="152"/>
      <c r="D109" s="111">
        <f>D108*A108*A108/A109/A109</f>
        <v>9.144349209183673E-05</v>
      </c>
      <c r="E109" s="82">
        <f>E108*A108/A109</f>
        <v>0.0037866</v>
      </c>
      <c r="F109" s="112">
        <f>$B$6</f>
        <v>0.15680000000000002</v>
      </c>
    </row>
    <row r="110" spans="1:6" ht="15.75" thickTop="1">
      <c r="A110" s="51">
        <f>$B$14/50</f>
        <v>0.008488263631567752</v>
      </c>
      <c r="B110" s="95" t="s">
        <v>177</v>
      </c>
      <c r="C110" s="154" t="s">
        <v>174</v>
      </c>
      <c r="D110" s="42">
        <f>$B$13</f>
        <v>0.015</v>
      </c>
      <c r="E110" s="42">
        <f>E111*A110/A111</f>
        <v>0.0007999999999999999</v>
      </c>
      <c r="F110" s="106">
        <f>F111*A110*A110/A111/A111</f>
        <v>4.2666666666666676E-05</v>
      </c>
    </row>
    <row r="111" spans="1:6" ht="15.75" thickBot="1">
      <c r="A111" s="52">
        <f>$B$14</f>
        <v>0.42441318157838764</v>
      </c>
      <c r="B111" s="60" t="s">
        <v>173</v>
      </c>
      <c r="C111" s="153"/>
      <c r="D111" s="99">
        <f>$B$13</f>
        <v>0.015</v>
      </c>
      <c r="E111" s="99">
        <f>E112</f>
        <v>0.04</v>
      </c>
      <c r="F111" s="105">
        <f>F112</f>
        <v>0.10666666666666669</v>
      </c>
    </row>
    <row r="112" spans="1:6" ht="15">
      <c r="A112" s="50">
        <f>$B$14</f>
        <v>0.42441318157838764</v>
      </c>
      <c r="B112" s="59" t="s">
        <v>176</v>
      </c>
      <c r="C112" s="151" t="s">
        <v>175</v>
      </c>
      <c r="D112" s="96">
        <f>D111</f>
        <v>0.015</v>
      </c>
      <c r="E112" s="96">
        <f>$B$12</f>
        <v>0.04</v>
      </c>
      <c r="F112" s="104">
        <f>F114*A112/A113</f>
        <v>0.10666666666666669</v>
      </c>
    </row>
    <row r="113" spans="1:6" ht="15.75" thickBot="1">
      <c r="A113" s="52">
        <f>$B$15</f>
        <v>1.5915494309189535</v>
      </c>
      <c r="B113" s="60" t="s">
        <v>172</v>
      </c>
      <c r="C113" s="153"/>
      <c r="D113" s="99">
        <f>D111*A112/A113</f>
        <v>0.004</v>
      </c>
      <c r="E113" s="99">
        <f>$B$12</f>
        <v>0.04</v>
      </c>
      <c r="F113" s="105">
        <f>F114</f>
        <v>0.4</v>
      </c>
    </row>
    <row r="114" spans="1:6" ht="15">
      <c r="A114" s="51">
        <f>$B$15</f>
        <v>1.5915494309189535</v>
      </c>
      <c r="B114" s="95" t="s">
        <v>172</v>
      </c>
      <c r="C114" s="151" t="s">
        <v>179</v>
      </c>
      <c r="D114" s="42">
        <f>D113</f>
        <v>0.004</v>
      </c>
      <c r="E114" s="42">
        <f>E113</f>
        <v>0.04</v>
      </c>
      <c r="F114" s="106">
        <f>$B$11</f>
        <v>0.4</v>
      </c>
    </row>
    <row r="115" spans="1:6" ht="15.75" thickBot="1">
      <c r="A115" s="52">
        <f>$B$15*50</f>
        <v>79.57747154594767</v>
      </c>
      <c r="B115" s="60" t="s">
        <v>178</v>
      </c>
      <c r="C115" s="153"/>
      <c r="D115" s="107">
        <f>D114*A114*A114/A115/A115</f>
        <v>1.6000000000000001E-06</v>
      </c>
      <c r="E115" s="99">
        <f>E114*A114/A115</f>
        <v>0.0007999999999999999</v>
      </c>
      <c r="F115" s="105">
        <f>$B$11</f>
        <v>0.4</v>
      </c>
    </row>
    <row r="116" spans="1:6" ht="12.75">
      <c r="A116" s="4"/>
      <c r="B116" s="95"/>
      <c r="C116" s="94"/>
      <c r="D116" s="67"/>
      <c r="E116" s="4"/>
      <c r="F116" s="4"/>
    </row>
    <row r="117" spans="1:6" ht="12.75">
      <c r="A117" s="4"/>
      <c r="B117" s="95"/>
      <c r="C117" s="94"/>
      <c r="D117" s="67"/>
      <c r="E117" s="4"/>
      <c r="F117" s="4"/>
    </row>
  </sheetData>
  <sheetProtection sheet="1" objects="1" scenarios="1"/>
  <mergeCells count="16">
    <mergeCell ref="C110:C111"/>
    <mergeCell ref="C112:C113"/>
    <mergeCell ref="C114:C115"/>
    <mergeCell ref="A1:F1"/>
    <mergeCell ref="A103:F103"/>
    <mergeCell ref="A97:F97"/>
    <mergeCell ref="C104:C105"/>
    <mergeCell ref="B98:B99"/>
    <mergeCell ref="B100:B101"/>
    <mergeCell ref="C17:D17"/>
    <mergeCell ref="D18:E18"/>
    <mergeCell ref="A10:C10"/>
    <mergeCell ref="C108:C109"/>
    <mergeCell ref="C98:C99"/>
    <mergeCell ref="C100:C101"/>
    <mergeCell ref="C106:C10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6"/>
  <sheetViews>
    <sheetView workbookViewId="0" topLeftCell="A1">
      <selection activeCell="B27" sqref="B27"/>
    </sheetView>
  </sheetViews>
  <sheetFormatPr defaultColWidth="9.140625" defaultRowHeight="12.75"/>
  <cols>
    <col min="1" max="1" width="29.28125" style="0" bestFit="1" customWidth="1"/>
    <col min="2" max="2" width="13.7109375" style="0" customWidth="1"/>
  </cols>
  <sheetData>
    <row r="3" ht="12.75">
      <c r="A3" t="s">
        <v>183</v>
      </c>
    </row>
    <row r="4" spans="1:3" ht="15">
      <c r="A4" t="s">
        <v>186</v>
      </c>
      <c r="B4" s="37" t="s">
        <v>192</v>
      </c>
      <c r="C4" s="119">
        <v>0.1</v>
      </c>
    </row>
    <row r="5" spans="1:4" ht="15">
      <c r="A5" t="s">
        <v>184</v>
      </c>
      <c r="B5" s="37" t="s">
        <v>188</v>
      </c>
      <c r="C5" s="120">
        <v>30</v>
      </c>
      <c r="D5" t="s">
        <v>185</v>
      </c>
    </row>
    <row r="6" spans="1:4" ht="15">
      <c r="A6" t="s">
        <v>157</v>
      </c>
      <c r="B6" s="37" t="s">
        <v>191</v>
      </c>
      <c r="C6" s="123">
        <f>'Station Peak'!B3</f>
        <v>1.6</v>
      </c>
      <c r="D6" t="s">
        <v>158</v>
      </c>
    </row>
    <row r="7" spans="1:3" ht="15">
      <c r="A7" t="s">
        <v>187</v>
      </c>
      <c r="B7" s="37" t="s">
        <v>193</v>
      </c>
      <c r="C7" s="121">
        <f>1-C4</f>
        <v>0.9</v>
      </c>
    </row>
    <row r="8" spans="1:4" ht="15">
      <c r="A8" t="s">
        <v>189</v>
      </c>
      <c r="B8" s="37" t="s">
        <v>190</v>
      </c>
      <c r="C8" s="122">
        <f>C5/-LN(C7)</f>
        <v>284.73664743089716</v>
      </c>
      <c r="D8" t="s">
        <v>185</v>
      </c>
    </row>
    <row r="9" spans="1:4" ht="15">
      <c r="A9" t="s">
        <v>202</v>
      </c>
      <c r="B9" s="124" t="s">
        <v>194</v>
      </c>
      <c r="C9" s="125">
        <f>1/C8</f>
        <v>0.003512017188594209</v>
      </c>
      <c r="D9" t="s">
        <v>195</v>
      </c>
    </row>
    <row r="11" ht="12.75">
      <c r="B11" s="37"/>
    </row>
    <row r="12" spans="2:4" ht="12.75">
      <c r="B12" s="37" t="s">
        <v>198</v>
      </c>
      <c r="C12">
        <v>0.01846</v>
      </c>
      <c r="D12" t="s">
        <v>196</v>
      </c>
    </row>
    <row r="13" spans="2:3" ht="15">
      <c r="B13" s="124" t="s">
        <v>197</v>
      </c>
      <c r="C13">
        <v>0.00375</v>
      </c>
    </row>
    <row r="14" spans="2:3" ht="12.75">
      <c r="B14" s="37" t="s">
        <v>201</v>
      </c>
      <c r="C14" s="126">
        <f>1/C13</f>
        <v>266.6666666666667</v>
      </c>
    </row>
    <row r="15" spans="2:3" ht="12.75">
      <c r="B15" s="37" t="s">
        <v>199</v>
      </c>
      <c r="C15" s="127">
        <v>0.9</v>
      </c>
    </row>
    <row r="16" spans="2:3" ht="12.75">
      <c r="B16" s="37" t="s">
        <v>200</v>
      </c>
      <c r="C16">
        <f>-C14*LN(C15)</f>
        <v>28.096137508753678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Predicting Expected Ground Motion</dc:title>
  <dc:subject>Seismometer clipping levels</dc:subject>
  <dc:creator>Brett Nordgren</dc:creator>
  <cp:keywords/>
  <dc:description/>
  <cp:lastModifiedBy>Brett Nordgren</cp:lastModifiedBy>
  <dcterms:created xsi:type="dcterms:W3CDTF">2006-04-22T16:43:29Z</dcterms:created>
  <dcterms:modified xsi:type="dcterms:W3CDTF">2006-05-17T12:47:55Z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May 15, 2006</vt:lpwstr>
  </property>
</Properties>
</file>