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84" yWindow="65524" windowWidth="7632" windowHeight="9588" firstSheet="4" activeTab="6"/>
  </bookViews>
  <sheets>
    <sheet name="Notes" sheetId="1" r:id="rId1"/>
    <sheet name="Macros" sheetId="2" r:id="rId2"/>
    <sheet name="Parameters" sheetId="3" r:id="rId3"/>
    <sheet name="Formulas" sheetId="4" r:id="rId4"/>
    <sheet name="Control" sheetId="5" r:id="rId5"/>
    <sheet name="Plot Data" sheetId="6" state="hidden" r:id="rId6"/>
    <sheet name="Accel. Response" sheetId="7" r:id="rId7"/>
    <sheet name="Loop Phase" sheetId="8" r:id="rId8"/>
    <sheet name="Vel. Response" sheetId="9" r:id="rId9"/>
    <sheet name="Compliance" sheetId="10" r:id="rId10"/>
    <sheet name="Clipping" sheetId="11" r:id="rId11"/>
    <sheet name="Force Resp." sheetId="12" r:id="rId12"/>
    <sheet name="Force Rate Resp." sheetId="13" r:id="rId13"/>
    <sheet name="Force Resp. Phase" sheetId="14" r:id="rId14"/>
    <sheet name="Disp. Resp." sheetId="15" r:id="rId15"/>
    <sheet name="SpMa-X" sheetId="16" r:id="rId16"/>
    <sheet name="SpMa-V" sheetId="17" r:id="rId17"/>
    <sheet name="SpMa-A" sheetId="18" r:id="rId18"/>
    <sheet name="Variables-old" sheetId="19" state="hidden" r:id="rId19"/>
    <sheet name="Conversions" sheetId="20" r:id="rId20"/>
    <sheet name="Quad Ampl." sheetId="21" state="hidden" r:id="rId21"/>
    <sheet name="Quad Test" sheetId="22" state="hidden" r:id="rId22"/>
  </sheets>
  <definedNames>
    <definedName name="GainCross">'Control'!$A$120</definedName>
    <definedName name="Parameters">'Control'!$C$5:$F$34</definedName>
    <definedName name="_xlnm.Print_Area" localSheetId="4">'Control'!$A$42:$AR$120</definedName>
    <definedName name="_xlnm.Print_Titles" localSheetId="4">'Control'!$1:$6</definedName>
  </definedNames>
  <calcPr fullCalcOnLoad="1"/>
</workbook>
</file>

<file path=xl/comments5.xml><?xml version="1.0" encoding="utf-8"?>
<comments xmlns="http://schemas.openxmlformats.org/spreadsheetml/2006/main">
  <authors>
    <author>Brett Nordgren</author>
  </authors>
  <commentList>
    <comment ref="AH120" authorId="0">
      <text>
        <r>
          <rPr>
            <b/>
            <sz val="8"/>
            <rFont val="Tahoma"/>
            <family val="0"/>
          </rPr>
          <t>Brett Nordgren: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<sst xmlns="http://schemas.openxmlformats.org/spreadsheetml/2006/main" count="1610" uniqueCount="815">
  <si>
    <t>Freq.</t>
  </si>
  <si>
    <t>w</t>
  </si>
  <si>
    <t>Feedback Branches</t>
  </si>
  <si>
    <t xml:space="preserve">Total </t>
  </si>
  <si>
    <t>Mag.</t>
  </si>
  <si>
    <t>Mag 1/B</t>
  </si>
  <si>
    <t>Spring - Mass</t>
  </si>
  <si>
    <t>Displ Amplifier</t>
  </si>
  <si>
    <t>Forward Path</t>
  </si>
  <si>
    <t>Loop Gain</t>
  </si>
  <si>
    <t>Asymptotes</t>
  </si>
  <si>
    <t>Hz</t>
  </si>
  <si>
    <t>Rad/sec</t>
  </si>
  <si>
    <t>B</t>
  </si>
  <si>
    <t>x M</t>
  </si>
  <si>
    <r>
      <t xml:space="preserve">x M 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</si>
  <si>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r>
      <t xml:space="preserve">x M </t>
    </r>
    <r>
      <rPr>
        <b/>
        <sz val="10"/>
        <rFont val="Symbol"/>
        <family val="1"/>
      </rPr>
      <t>w</t>
    </r>
    <r>
      <rPr>
        <b/>
        <vertAlign val="superscript"/>
        <sz val="10"/>
        <rFont val="Arial"/>
        <family val="2"/>
      </rPr>
      <t>2</t>
    </r>
    <r>
      <rPr>
        <b/>
        <sz val="10"/>
        <rFont val="Symbol"/>
        <family val="1"/>
      </rPr>
      <t xml:space="preserve"> </t>
    </r>
    <r>
      <rPr>
        <b/>
        <vertAlign val="superscript"/>
        <sz val="10"/>
        <rFont val="Arial"/>
        <family val="2"/>
      </rPr>
      <t xml:space="preserve"> </t>
    </r>
  </si>
  <si>
    <r>
      <t xml:space="preserve">x M 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</si>
  <si>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Mag(A)</t>
  </si>
  <si>
    <t>Mag(AB)</t>
  </si>
  <si>
    <t>Phase</t>
  </si>
  <si>
    <t>Mag</t>
  </si>
  <si>
    <t>Arg</t>
  </si>
  <si>
    <t>Arg.</t>
  </si>
  <si>
    <t>A1</t>
  </si>
  <si>
    <t>A2</t>
  </si>
  <si>
    <t>A3</t>
  </si>
  <si>
    <t>A4</t>
  </si>
  <si>
    <t>A5</t>
  </si>
  <si>
    <t>A/V</t>
  </si>
  <si>
    <t>N/A</t>
  </si>
  <si>
    <t>N/V</t>
  </si>
  <si>
    <t>V/N</t>
  </si>
  <si>
    <r>
      <t>V  m/s</t>
    </r>
    <r>
      <rPr>
        <b/>
        <vertAlign val="superscript"/>
        <sz val="10"/>
        <rFont val="Arial"/>
        <family val="2"/>
      </rPr>
      <t>2</t>
    </r>
  </si>
  <si>
    <t>V / m/s</t>
  </si>
  <si>
    <t>m/N</t>
  </si>
  <si>
    <r>
      <t>m /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</si>
  <si>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m / m</t>
  </si>
  <si>
    <t>m / m/s</t>
  </si>
  <si>
    <t>V/m</t>
  </si>
  <si>
    <r>
      <t>V / m/s</t>
    </r>
    <r>
      <rPr>
        <b/>
        <vertAlign val="superscript"/>
        <sz val="10"/>
        <rFont val="Arial"/>
        <family val="2"/>
      </rPr>
      <t>2</t>
    </r>
  </si>
  <si>
    <t>deg</t>
  </si>
  <si>
    <t>V /  m/s</t>
  </si>
  <si>
    <t>Default=1</t>
  </si>
  <si>
    <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</si>
  <si>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t>A/ V/sec</t>
  </si>
  <si>
    <t>sec</t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</si>
  <si>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</si>
  <si>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V/A</t>
  </si>
  <si>
    <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 xml:space="preserve"> =</t>
    </r>
  </si>
  <si>
    <t>kg</t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</si>
  <si>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</si>
  <si>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</si>
  <si>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N/m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</si>
  <si>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</si>
  <si>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sec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</t>
    </r>
  </si>
  <si>
    <t>h =</t>
  </si>
  <si>
    <t>Ohms</t>
  </si>
  <si>
    <r>
      <t>z</t>
    </r>
    <r>
      <rPr>
        <vertAlign val="subscript"/>
        <sz val="12"/>
        <rFont val="Times New Roman"/>
        <family val="1"/>
      </rPr>
      <t>B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</si>
  <si>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</si>
  <si>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rad/sec</t>
  </si>
  <si>
    <t>Q</t>
  </si>
  <si>
    <t>Force Response</t>
  </si>
  <si>
    <t>Acceleration Response</t>
  </si>
  <si>
    <t>Velocity Response</t>
  </si>
  <si>
    <t>Velocity Asymptotes</t>
  </si>
  <si>
    <t>Velocity Response 2</t>
  </si>
  <si>
    <t>F</t>
  </si>
  <si>
    <t>W</t>
  </si>
  <si>
    <t>O</t>
  </si>
  <si>
    <t>AA</t>
  </si>
  <si>
    <t>AD</t>
  </si>
  <si>
    <t>X</t>
  </si>
  <si>
    <t>P</t>
  </si>
  <si>
    <t>AF</t>
  </si>
  <si>
    <t>AH</t>
  </si>
  <si>
    <t>Y</t>
  </si>
  <si>
    <t>AB</t>
  </si>
  <si>
    <t>AP</t>
  </si>
  <si>
    <t>AQ</t>
  </si>
  <si>
    <t>AR</t>
  </si>
  <si>
    <t>AS</t>
  </si>
  <si>
    <t>AT</t>
  </si>
  <si>
    <r>
      <t>AV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</si>
  <si>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2</t>
    </r>
  </si>
  <si>
    <r>
      <t>AH</t>
    </r>
    <r>
      <rPr>
        <vertAlign val="subscript"/>
        <sz val="10"/>
        <rFont val="Arial"/>
        <family val="2"/>
      </rPr>
      <t>2</t>
    </r>
  </si>
  <si>
    <r>
      <t>Y</t>
    </r>
    <r>
      <rPr>
        <vertAlign val="subscript"/>
        <sz val="10"/>
        <rFont val="Arial"/>
        <family val="2"/>
      </rPr>
      <t>2</t>
    </r>
  </si>
  <si>
    <r>
      <t>AA</t>
    </r>
    <r>
      <rPr>
        <vertAlign val="subscript"/>
        <sz val="10"/>
        <rFont val="Arial"/>
        <family val="2"/>
      </rPr>
      <t>2</t>
    </r>
  </si>
  <si>
    <r>
      <t>AN</t>
    </r>
    <r>
      <rPr>
        <vertAlign val="subscript"/>
        <sz val="10"/>
        <rFont val="Arial"/>
        <family val="2"/>
      </rPr>
      <t>2</t>
    </r>
  </si>
  <si>
    <t>MagAB</t>
  </si>
  <si>
    <t>Mag CLTF</t>
  </si>
  <si>
    <t>Mag(A)   x M</t>
  </si>
  <si>
    <t>Mag 1/B   x M</t>
  </si>
  <si>
    <t>CLTF     x M</t>
  </si>
  <si>
    <r>
      <t>Mag 1/B x M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</si>
  <si>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r>
      <t>Mag CLTF   x M</t>
    </r>
    <r>
      <rPr>
        <b/>
        <sz val="12"/>
        <rFont val="Symbol"/>
        <family val="1"/>
      </rPr>
      <t>w</t>
    </r>
  </si>
  <si>
    <r>
      <t xml:space="preserve">Mag(A) x M 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</si>
  <si>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Loop Phase</t>
  </si>
  <si>
    <t>Mods to Disp. amp</t>
  </si>
  <si>
    <t>Mag w/93 sec Integrator</t>
  </si>
  <si>
    <t>V / m/s2</t>
  </si>
  <si>
    <t>Cells in row 4 are "TRUE" if the sum of the values in a column is the same as the corresponding sum on worksheet "MAIN"</t>
  </si>
  <si>
    <t>R</t>
  </si>
  <si>
    <t>C</t>
  </si>
  <si>
    <t>Excel</t>
  </si>
  <si>
    <t>Loop 4</t>
  </si>
  <si>
    <t>Morrissey</t>
  </si>
  <si>
    <t>Others</t>
  </si>
  <si>
    <r>
      <t>C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</si>
  <si>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t>derivative feedback capacitor</t>
  </si>
  <si>
    <t>Fd</t>
  </si>
  <si>
    <t>feedback capacitor</t>
  </si>
  <si>
    <r>
      <t>t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</si>
  <si>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t>integrator time constant</t>
  </si>
  <si>
    <r>
      <t>T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</si>
  <si>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</t>
    </r>
  </si>
  <si>
    <t>proportional feedback resistor</t>
  </si>
  <si>
    <r>
      <t>R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 xml:space="preserve"> </t>
    </r>
  </si>
  <si>
    <t>force transducer coil resistance</t>
  </si>
  <si>
    <r>
      <t>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</si>
  <si>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</si>
  <si>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t>integrator feedback resistor</t>
  </si>
  <si>
    <r>
      <t>R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</t>
    </r>
  </si>
  <si>
    <r>
      <t>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0"/>
      </rPr>
      <t xml:space="preserve"> </t>
    </r>
  </si>
  <si>
    <t>force transducer constant</t>
  </si>
  <si>
    <t>M</t>
  </si>
  <si>
    <t>Mass</t>
  </si>
  <si>
    <t>sensor mass</t>
  </si>
  <si>
    <t>K</t>
  </si>
  <si>
    <t>mechanical spring rate</t>
  </si>
  <si>
    <r>
      <t>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</si>
  <si>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t>N / M/sec</t>
  </si>
  <si>
    <t>spring-mass velocity damping</t>
  </si>
  <si>
    <r>
      <t>z</t>
    </r>
    <r>
      <rPr>
        <sz val="12"/>
        <rFont val="Arial"/>
        <family val="2"/>
      </rPr>
      <t xml:space="preserve"> </t>
    </r>
  </si>
  <si>
    <t>---</t>
  </si>
  <si>
    <t>spring-mass damping factor</t>
  </si>
  <si>
    <r>
      <t>z</t>
    </r>
    <r>
      <rPr>
        <vertAlign val="subscript"/>
        <sz val="12"/>
        <rFont val="Arial"/>
        <family val="2"/>
      </rPr>
      <t>0</t>
    </r>
    <r>
      <rPr>
        <sz val="14"/>
        <rFont val="Arial"/>
        <family val="2"/>
      </rPr>
      <t xml:space="preserve"> </t>
    </r>
  </si>
  <si>
    <t>damping factor</t>
  </si>
  <si>
    <r>
      <t>T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</si>
  <si>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t>spring-mass free period</t>
  </si>
  <si>
    <t>undamped natural period</t>
  </si>
  <si>
    <r>
      <t>w</t>
    </r>
    <r>
      <rPr>
        <vertAlign val="subscript"/>
        <sz val="12"/>
        <rFont val="Times New Roman"/>
        <family val="1"/>
      </rPr>
      <t>0</t>
    </r>
  </si>
  <si>
    <t xml:space="preserve">rad/sec </t>
  </si>
  <si>
    <t>undamped natural frequency</t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</si>
  <si>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</si>
  <si>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t>displacement transducer time constant</t>
  </si>
  <si>
    <t>r</t>
  </si>
  <si>
    <t>displacement transducer constant</t>
  </si>
  <si>
    <r>
      <t>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</si>
  <si>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C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</si>
  <si>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t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</si>
  <si>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</t>
    </r>
  </si>
  <si>
    <r>
      <t>w</t>
    </r>
    <r>
      <rPr>
        <vertAlign val="subscript"/>
        <sz val="10"/>
        <rFont val="Arial"/>
        <family val="2"/>
      </rPr>
      <t xml:space="preserve">1 </t>
    </r>
  </si>
  <si>
    <r>
      <t>w</t>
    </r>
    <r>
      <rPr>
        <vertAlign val="subscript"/>
        <sz val="10"/>
        <rFont val="Arial"/>
        <family val="2"/>
      </rPr>
      <t xml:space="preserve">2 </t>
    </r>
  </si>
  <si>
    <t>feedback path damping</t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</si>
  <si>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0"/>
      </rPr>
      <t xml:space="preserve"> </t>
    </r>
  </si>
  <si>
    <t>instrument effective natural period</t>
  </si>
  <si>
    <t>instrument damping</t>
  </si>
  <si>
    <r>
      <t>A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</si>
  <si>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t>Forward branch transfer funct.  Consisting of spring-mass, displacement transducer &amp; transducer amplifier.</t>
  </si>
  <si>
    <r>
      <t>R</t>
    </r>
    <r>
      <rPr>
        <vertAlign val="subscript"/>
        <sz val="12"/>
        <rFont val="Arial"/>
        <family val="2"/>
      </rPr>
      <t>m</t>
    </r>
    <r>
      <rPr>
        <sz val="12"/>
        <rFont val="Arial"/>
        <family val="0"/>
      </rPr>
      <t xml:space="preserve"> </t>
    </r>
  </si>
  <si>
    <r>
      <t>Vbb output filter R   note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</si>
  <si>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C</t>
    </r>
    <r>
      <rPr>
        <vertAlign val="subscript"/>
        <sz val="12"/>
        <rFont val="Arial"/>
        <family val="2"/>
      </rPr>
      <t>m</t>
    </r>
    <r>
      <rPr>
        <sz val="12"/>
        <rFont val="Arial"/>
        <family val="0"/>
      </rPr>
      <t xml:space="preserve"> </t>
    </r>
  </si>
  <si>
    <t>Vbb output filter C</t>
  </si>
  <si>
    <t>F - Hz</t>
  </si>
  <si>
    <r>
      <t>1/</t>
    </r>
    <r>
      <rPr>
        <b/>
        <sz val="14"/>
        <rFont val="Symbol"/>
        <family val="1"/>
      </rPr>
      <t>w</t>
    </r>
  </si>
  <si>
    <t>Real</t>
  </si>
  <si>
    <t>Imag</t>
  </si>
  <si>
    <r>
      <t>z</t>
    </r>
    <r>
      <rPr>
        <b/>
        <sz val="10"/>
        <rFont val="Arial"/>
        <family val="2"/>
      </rPr>
      <t xml:space="preserve"> = 0.1</t>
    </r>
  </si>
  <si>
    <r>
      <t>z</t>
    </r>
    <r>
      <rPr>
        <b/>
        <sz val="10"/>
        <rFont val="Arial"/>
        <family val="2"/>
      </rPr>
      <t xml:space="preserve"> = 0.25</t>
    </r>
  </si>
  <si>
    <r>
      <t>z</t>
    </r>
    <r>
      <rPr>
        <b/>
        <sz val="10"/>
        <rFont val="Arial"/>
        <family val="2"/>
      </rPr>
      <t xml:space="preserve"> = 0.5</t>
    </r>
  </si>
  <si>
    <r>
      <t>z</t>
    </r>
    <r>
      <rPr>
        <b/>
        <sz val="10"/>
        <rFont val="Arial"/>
        <family val="2"/>
      </rPr>
      <t xml:space="preserve"> = 0.707</t>
    </r>
  </si>
  <si>
    <r>
      <t>z</t>
    </r>
    <r>
      <rPr>
        <b/>
        <sz val="10"/>
        <rFont val="Arial"/>
        <family val="2"/>
      </rPr>
      <t xml:space="preserve"> = 0.8</t>
    </r>
  </si>
  <si>
    <r>
      <t>z</t>
    </r>
    <r>
      <rPr>
        <b/>
        <sz val="10"/>
        <rFont val="Arial"/>
        <family val="2"/>
      </rPr>
      <t xml:space="preserve"> = 1.0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</si>
  <si>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</t>
    </r>
  </si>
  <si>
    <r>
      <t>z</t>
    </r>
    <r>
      <rPr>
        <sz val="10"/>
        <rFont val="Arial"/>
        <family val="0"/>
      </rPr>
      <t xml:space="preserve"> = </t>
    </r>
  </si>
  <si>
    <t>wL</t>
  </si>
  <si>
    <t>w=</t>
  </si>
  <si>
    <t>poles at</t>
  </si>
  <si>
    <t>b=</t>
  </si>
  <si>
    <t>c=</t>
  </si>
  <si>
    <t>Freq</t>
  </si>
  <si>
    <t>Log10 F</t>
  </si>
  <si>
    <t>Mag num</t>
  </si>
  <si>
    <t>Mag den</t>
  </si>
  <si>
    <t>Mag Fcn</t>
  </si>
  <si>
    <t>mag*w</t>
  </si>
  <si>
    <t>20 log mag</t>
  </si>
  <si>
    <t>Conversion Factors</t>
  </si>
  <si>
    <t>kg / N</t>
  </si>
  <si>
    <t>M / in</t>
  </si>
  <si>
    <t>kP / bar</t>
  </si>
  <si>
    <t>dyne / Newton</t>
  </si>
  <si>
    <t>dyne / Kg</t>
  </si>
  <si>
    <r>
      <t>gm/cm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 / lb</t>
    </r>
    <r>
      <rPr>
        <vertAlign val="subscript"/>
        <sz val="12"/>
        <rFont val="Arial"/>
        <family val="0"/>
      </rPr>
      <t>f</t>
    </r>
    <r>
      <rPr>
        <sz val="12"/>
        <rFont val="Arial"/>
        <family val="0"/>
      </rPr>
      <t xml:space="preserve"> /in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 </t>
    </r>
  </si>
  <si>
    <r>
      <t>cm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 / in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 </t>
    </r>
  </si>
  <si>
    <r>
      <t>kg / lb</t>
    </r>
    <r>
      <rPr>
        <vertAlign val="subscript"/>
        <sz val="12"/>
        <rFont val="Arial"/>
        <family val="0"/>
      </rPr>
      <t>f</t>
    </r>
    <r>
      <rPr>
        <sz val="12"/>
        <rFont val="Arial"/>
        <family val="0"/>
      </rPr>
      <t xml:space="preserve"> </t>
    </r>
  </si>
  <si>
    <r>
      <t>g - ft/sec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=</t>
    </r>
  </si>
  <si>
    <r>
      <t>g - in/sec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=</t>
    </r>
  </si>
  <si>
    <r>
      <t>g - M / sec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</t>
    </r>
  </si>
  <si>
    <r>
      <t>N / lb</t>
    </r>
    <r>
      <rPr>
        <vertAlign val="subscript"/>
        <sz val="12"/>
        <rFont val="Arial"/>
        <family val="0"/>
      </rPr>
      <t>f</t>
    </r>
    <r>
      <rPr>
        <sz val="12"/>
        <rFont val="Arial"/>
        <family val="0"/>
      </rPr>
      <t xml:space="preserve"> </t>
    </r>
  </si>
  <si>
    <r>
      <t>N-M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-in</t>
    </r>
  </si>
  <si>
    <r>
      <t>N/M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(psi)</t>
    </r>
  </si>
  <si>
    <r>
      <t>kPa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(psi)</t>
    </r>
  </si>
  <si>
    <r>
      <t>N/mm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(psi)</t>
    </r>
  </si>
  <si>
    <r>
      <t>N/cm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(psi)</t>
    </r>
  </si>
  <si>
    <r>
      <t>kg/cm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psi</t>
    </r>
  </si>
  <si>
    <r>
      <t>dyne / lb</t>
    </r>
    <r>
      <rPr>
        <vertAlign val="subscript"/>
        <sz val="12"/>
        <rFont val="Arial"/>
        <family val="0"/>
      </rPr>
      <t>f</t>
    </r>
    <r>
      <rPr>
        <sz val="12"/>
        <rFont val="Arial"/>
        <family val="0"/>
      </rPr>
      <t xml:space="preserve"> </t>
    </r>
  </si>
  <si>
    <r>
      <t>dyne/cm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bar</t>
    </r>
  </si>
  <si>
    <r>
      <t xml:space="preserve">x M </t>
    </r>
    <r>
      <rPr>
        <b/>
        <sz val="10"/>
        <rFont val="Symbol"/>
        <family val="1"/>
      </rPr>
      <t>w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</t>
    </r>
  </si>
  <si>
    <r>
      <t>Deriv(j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</si>
  <si>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Prop(j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</si>
  <si>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F(j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</si>
  <si>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A(j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</si>
  <si>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AB(j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</si>
  <si>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Sum(j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</si>
  <si>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B Path(j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</si>
  <si>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Integral(j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</si>
  <si>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>V / m</t>
  </si>
  <si>
    <t>Compliance</t>
  </si>
  <si>
    <r>
      <t>C.L.T.F. x M</t>
    </r>
    <r>
      <rPr>
        <b/>
        <sz val="12"/>
        <rFont val="Symbol"/>
        <family val="1"/>
      </rPr>
      <t>w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</t>
    </r>
  </si>
  <si>
    <t>A</t>
  </si>
  <si>
    <t>D</t>
  </si>
  <si>
    <t>E</t>
  </si>
  <si>
    <t>G</t>
  </si>
  <si>
    <t>H</t>
  </si>
  <si>
    <t>I</t>
  </si>
  <si>
    <t>J</t>
  </si>
  <si>
    <t>L</t>
  </si>
  <si>
    <t>N</t>
  </si>
  <si>
    <t>S</t>
  </si>
  <si>
    <t>T</t>
  </si>
  <si>
    <t>U</t>
  </si>
  <si>
    <t>V</t>
  </si>
  <si>
    <t>Z</t>
  </si>
  <si>
    <t>AC</t>
  </si>
  <si>
    <t>AE</t>
  </si>
  <si>
    <t>AG</t>
  </si>
  <si>
    <t>AI</t>
  </si>
  <si>
    <t>AJ</t>
  </si>
  <si>
    <t>AK</t>
  </si>
  <si>
    <t>AL</t>
  </si>
  <si>
    <t>AM</t>
  </si>
  <si>
    <t>AN</t>
  </si>
  <si>
    <t>AO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</si>
  <si>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</si>
  <si>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</si>
  <si>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</si>
  <si>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</si>
  <si>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</si>
  <si>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</si>
  <si>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</si>
  <si>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</si>
  <si>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</si>
  <si>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</si>
  <si>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</si>
  <si>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</si>
  <si>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</si>
  <si>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</si>
  <si>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</si>
  <si>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</si>
  <si>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</si>
  <si>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</si>
  <si>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</si>
  <si>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</si>
  <si>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</si>
  <si>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</si>
  <si>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</si>
  <si>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</si>
  <si>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</si>
  <si>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</si>
  <si>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</si>
  <si>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</si>
  <si>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</si>
  <si>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</si>
  <si>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</si>
  <si>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</si>
  <si>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Column</t>
  </si>
  <si>
    <t>Independent</t>
  </si>
  <si>
    <t>sec-1</t>
  </si>
  <si>
    <t>Frequency</t>
  </si>
  <si>
    <r>
      <t>=2</t>
    </r>
    <r>
      <rPr>
        <sz val="14"/>
        <rFont val="Symbol"/>
        <family val="1"/>
      </rPr>
      <t>p</t>
    </r>
    <r>
      <rPr>
        <sz val="12"/>
        <rFont val="Arial"/>
        <family val="0"/>
      </rPr>
      <t>F</t>
    </r>
  </si>
  <si>
    <r>
      <t>Deriv(j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</si>
  <si>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t>Units</t>
  </si>
  <si>
    <t>Symbol</t>
  </si>
  <si>
    <t>Formula</t>
  </si>
  <si>
    <t>Description</t>
  </si>
  <si>
    <t>Derivitave feedback branch transfer function</t>
  </si>
  <si>
    <t>Proportional feedback branch transfer function</t>
  </si>
  <si>
    <t>Integral feedback branch transfer function</t>
  </si>
  <si>
    <t>Sum of feedback branch transfer functions</t>
  </si>
  <si>
    <r>
      <t>Prop(j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</si>
  <si>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r>
      <t>Integral(j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</si>
  <si>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r>
      <t>Sum(j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</si>
  <si>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r>
      <t>j</t>
    </r>
    <r>
      <rPr>
        <sz val="12"/>
        <rFont val="Symbol"/>
        <family val="1"/>
      </rPr>
      <t>w</t>
    </r>
    <r>
      <rPr>
        <sz val="12"/>
        <rFont val="Arial"/>
        <family val="0"/>
      </rPr>
      <t>Cd/(1+j</t>
    </r>
    <r>
      <rPr>
        <sz val="12"/>
        <rFont val="Symbol"/>
        <family val="1"/>
      </rPr>
      <t>w</t>
    </r>
    <r>
      <rPr>
        <sz val="12"/>
        <rFont val="Arial"/>
        <family val="0"/>
      </rPr>
      <t>R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>C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>)</t>
    </r>
  </si>
  <si>
    <r>
      <t>1/R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</t>
    </r>
  </si>
  <si>
    <r>
      <t>Coil (j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) </t>
    </r>
  </si>
  <si>
    <r>
      <t>= if D6 Deriv(j</t>
    </r>
    <r>
      <rPr>
        <sz val="12"/>
        <rFont val="Symbol"/>
        <family val="1"/>
      </rPr>
      <t>w</t>
    </r>
    <r>
      <rPr>
        <sz val="12"/>
        <rFont val="Arial"/>
        <family val="0"/>
      </rPr>
      <t>) + if D4 Prop(j</t>
    </r>
    <r>
      <rPr>
        <sz val="12"/>
        <rFont val="Symbol"/>
        <family val="1"/>
      </rPr>
      <t>w</t>
    </r>
    <r>
      <rPr>
        <sz val="12"/>
        <rFont val="Arial"/>
        <family val="0"/>
      </rPr>
      <t>) + if D5 Integral(j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</si>
  <si>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t xml:space="preserve">Feedback Coil </t>
  </si>
  <si>
    <r>
      <t>Tot B Path 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</si>
  <si>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r>
      <t>Sum(j</t>
    </r>
    <r>
      <rPr>
        <sz val="12"/>
        <rFont val="Symbol"/>
        <family val="1"/>
      </rPr>
      <t>w</t>
    </r>
    <r>
      <rPr>
        <sz val="12"/>
        <rFont val="Arial"/>
        <family val="0"/>
      </rPr>
      <t>) Coil(j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) </t>
    </r>
  </si>
  <si>
    <t xml:space="preserve">Entire feedback </t>
  </si>
  <si>
    <t>Mag B Path Deriv only</t>
  </si>
  <si>
    <t>N sec/m</t>
  </si>
  <si>
    <t>To unprotect a worksheet or chart to allow editing, use 'Tools &gt; Protection &gt; Unprotect'</t>
  </si>
  <si>
    <t>All data is entered and computations made in worksheet 'Control'.</t>
  </si>
  <si>
    <t xml:space="preserve">Currently all worksheets and charts are protected.  Data may only be entered in the yellow cells.                                    </t>
  </si>
  <si>
    <t>Provision is made to include a one-pole post-detector filter, but its current value is set to zero.</t>
  </si>
  <si>
    <t>Brett Nordgren</t>
  </si>
  <si>
    <t>Error messages about negative or zero values in Log charts may be ignored.  Excel bug?</t>
  </si>
  <si>
    <r>
      <t>A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</si>
  <si>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t>driver amplifier current gain</t>
  </si>
  <si>
    <t xml:space="preserve"> Spring-Mass resonant frequency</t>
  </si>
  <si>
    <t xml:space="preserve"> Gain-Crossover frequency</t>
  </si>
  <si>
    <t xml:space="preserve"> Low Velocity Response rolloff (pole)</t>
  </si>
  <si>
    <t xml:space="preserve"> High Velocity response rolloff (pole)</t>
  </si>
  <si>
    <r>
      <t xml:space="preserve">x M </t>
    </r>
    <r>
      <rPr>
        <b/>
        <sz val="12"/>
        <rFont val="Symbol"/>
        <family val="1"/>
      </rPr>
      <t>w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</si>
  <si>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>R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</si>
  <si>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t>derivative branch series resistor</t>
  </si>
  <si>
    <r>
      <t>t</t>
    </r>
    <r>
      <rPr>
        <vertAlign val="subscript"/>
        <sz val="10"/>
        <rFont val="Times New Roman"/>
        <family val="1"/>
      </rPr>
      <t>VBB</t>
    </r>
    <r>
      <rPr>
        <sz val="10"/>
        <rFont val="Arial"/>
        <family val="2"/>
      </rPr>
      <t xml:space="preserve"> </t>
    </r>
  </si>
  <si>
    <r>
      <t>VBB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0"/>
      </rPr>
      <t xml:space="preserve"> high-pass time constant</t>
    </r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</si>
  <si>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</si>
  <si>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t>Changed Integrator Branch to represent a feedback integrator.  Integrator time constant now essentially infinite.</t>
  </si>
  <si>
    <t>Removed Chart which shows effect of external VBB hi-pass filter.</t>
  </si>
  <si>
    <t>Changed Frequency parameters for displacement gain boost to be in Hz.</t>
  </si>
  <si>
    <r>
      <t>w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</si>
  <si>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</t>
    </r>
  </si>
  <si>
    <t>N / A</t>
  </si>
  <si>
    <t>Newton</t>
  </si>
  <si>
    <t>mA</t>
  </si>
  <si>
    <t>Added 'Helpful Calculation Tools' to aid in finding component values.</t>
  </si>
  <si>
    <r>
      <t>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</si>
  <si>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</si>
  <si>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</si>
  <si>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</si>
  <si>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</si>
  <si>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Patched 'Loop Phase' caclulation to handle phase below -180 degrees</t>
  </si>
  <si>
    <t>Changed 'Loop Phase' chart range to go down to -300 degrees</t>
  </si>
  <si>
    <t>Spring-Mass Frequency</t>
  </si>
  <si>
    <t>Spring-Mass Damping</t>
  </si>
  <si>
    <t>Moved spring mass calculations from 'Helpful Calculation Tools' up to 'Derived Values'</t>
  </si>
  <si>
    <t>Notes on 'Helpful Calculation Tools'</t>
  </si>
  <si>
    <t>The yellow cells may be set to target values without affecting anything in the 'Parameters' section.</t>
  </si>
  <si>
    <t>Added Chart ' Vel. Resp. Phase'</t>
  </si>
  <si>
    <t>Sec</t>
  </si>
  <si>
    <t>Generator Constant</t>
  </si>
  <si>
    <t>Put STS-2 default parameters at Control!D137</t>
  </si>
  <si>
    <r>
      <t>Eliminated unused parameters 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>, C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and </t>
    </r>
    <r>
      <rPr>
        <sz val="14"/>
        <rFont val="Symbol"/>
        <family val="1"/>
      </rPr>
      <t>t</t>
    </r>
    <r>
      <rPr>
        <vertAlign val="subscript"/>
        <sz val="12"/>
        <rFont val="Arial"/>
        <family val="2"/>
      </rPr>
      <t>VBB</t>
    </r>
    <r>
      <rPr>
        <sz val="12"/>
        <rFont val="Arial"/>
        <family val="0"/>
      </rPr>
      <t xml:space="preserve"> </t>
    </r>
  </si>
  <si>
    <t>Eliminated various unused columns in Control!</t>
  </si>
  <si>
    <t>Modified loop phase formulas in Control!AH to better handle loop phases below -180 degrees.</t>
  </si>
  <si>
    <t>Added Mid-Band Velocity Response calculations to 'Helpful Calculation Tools'</t>
  </si>
  <si>
    <t>Note that sharp peaks may not resolve well unless more frequency points are added in the immediate vicinity.</t>
  </si>
  <si>
    <t>Note that units 'A / V/s' is Farads, V / A is Ohms</t>
  </si>
  <si>
    <t>Added block diagram to worksheet 'Variables'.</t>
  </si>
  <si>
    <r>
      <t>C.L.T.F.  x   M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= Velocity Resp.</t>
    </r>
  </si>
  <si>
    <t>Annotated 'Helpful Calculation Tools' and moved two independent parameters to be in the parameter group.</t>
  </si>
  <si>
    <t>Available at integrator output</t>
  </si>
  <si>
    <t>Switches in cells Control!D8 - 10 allow the three feedback branches to be enabled/disabled by entering True/False.</t>
  </si>
  <si>
    <t>Switch in cell Control!D11 allows the displacement amplifier gain boost to be enabled/disabled by entering True/False.</t>
  </si>
  <si>
    <t>Moved switch cells.  Improved formatting of 'Helpful Calculation Tools' and added another note.</t>
  </si>
  <si>
    <t>Added cell to display damping factor of low frequency rolloff in velocity response.</t>
  </si>
  <si>
    <t>Added worksheet and charts to compute and display 3-pole Bessel filter response - not otherwise used yet.</t>
  </si>
  <si>
    <t>Reversed block diagram on worksheet 'Variables'</t>
  </si>
  <si>
    <t>Rearranged input cells in worksheet 'Control'</t>
  </si>
  <si>
    <t xml:space="preserve"> Use Proportional</t>
  </si>
  <si>
    <t xml:space="preserve"> Use Integral</t>
  </si>
  <si>
    <t xml:space="preserve"> Use Derivative</t>
  </si>
  <si>
    <t xml:space="preserve"> Insert Inverse Filter</t>
  </si>
  <si>
    <r>
      <t xml:space="preserve">In worksheet 'Vel. Asymptotes', the asymptote </t>
    </r>
    <r>
      <rPr>
        <sz val="12"/>
        <rFont val="Symbol"/>
        <family val="1"/>
      </rPr>
      <t>w</t>
    </r>
    <r>
      <rPr>
        <sz val="12"/>
        <rFont val="Arial"/>
        <family val="0"/>
      </rPr>
      <t>Mr/k is not correct when inverse filter is applied.  It will get changed.</t>
    </r>
  </si>
  <si>
    <t>Corrected &amp; cleaned up Bessel filter charts.   Group Delay value in ms.</t>
  </si>
  <si>
    <t>Effective Spring Constant</t>
  </si>
  <si>
    <r>
      <t>z</t>
    </r>
    <r>
      <rPr>
        <vertAlign val="subscript"/>
        <sz val="10"/>
        <rFont val="Arial"/>
        <family val="2"/>
      </rPr>
      <t>0</t>
    </r>
    <r>
      <rPr>
        <sz val="12"/>
        <rFont val="Arial"/>
        <family val="2"/>
      </rPr>
      <t xml:space="preserve">= </t>
    </r>
  </si>
  <si>
    <t>Fixed 'Loop Phase' chart to show negative phase margin in red.</t>
  </si>
  <si>
    <t>Minor changes to 'Vel. Response' and 'Vel. Asymptotes' charts to clarify overlapping lines.</t>
  </si>
  <si>
    <r>
      <t xml:space="preserve">Changed velocity asymptote from 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Mr/k to </t>
    </r>
    <r>
      <rPr>
        <sz val="12"/>
        <rFont val="Symbol"/>
        <family val="1"/>
      </rPr>
      <t>w</t>
    </r>
    <r>
      <rPr>
        <sz val="12"/>
        <rFont val="Arial"/>
        <family val="0"/>
      </rPr>
      <t>Mrh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/k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</t>
    </r>
  </si>
  <si>
    <r>
      <t xml:space="preserve">Corrected velocity asymptote from </t>
    </r>
    <r>
      <rPr>
        <sz val="12"/>
        <rFont val="Symbol"/>
        <family val="1"/>
      </rPr>
      <t>w</t>
    </r>
    <r>
      <rPr>
        <sz val="12"/>
        <rFont val="Arial"/>
        <family val="0"/>
      </rPr>
      <t>Mrh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/k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to 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Mrh/k   (note: h </t>
    </r>
    <r>
      <rPr>
        <sz val="12"/>
        <rFont val="Symbol"/>
        <family val="1"/>
      </rPr>
      <t>º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/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)</t>
    </r>
  </si>
  <si>
    <t>Added True/False switch to insert Bessel filter.  This is to filter the 2 x carrier component.</t>
  </si>
  <si>
    <t xml:space="preserve"> Insert Bessel Filter</t>
  </si>
  <si>
    <t>Cleaned up Bessel worksheets.</t>
  </si>
  <si>
    <t>Added 'MATCHES' cells in Calculation Tools blocks.</t>
  </si>
  <si>
    <r>
      <t xml:space="preserve">The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0"/>
      </rPr>
      <t xml:space="preserve"> cells represent parameter values, </t>
    </r>
    <r>
      <rPr>
        <b/>
        <sz val="10"/>
        <rFont val="Arial"/>
        <family val="2"/>
      </rPr>
      <t>any one</t>
    </r>
    <r>
      <rPr>
        <sz val="10"/>
        <rFont val="Arial"/>
        <family val="0"/>
      </rPr>
      <t xml:space="preserve"> of which, if entered in the parameter table, would cause the value of the associated variable in the abo</t>
    </r>
    <r>
      <rPr>
        <sz val="10"/>
        <rFont val="Arial"/>
        <family val="2"/>
      </rPr>
      <t xml:space="preserve">ve yellow </t>
    </r>
    <r>
      <rPr>
        <sz val="10"/>
        <rFont val="Arial"/>
        <family val="0"/>
      </rPr>
      <t>cell to be obtained.</t>
    </r>
  </si>
  <si>
    <t>Time Constant</t>
  </si>
  <si>
    <t xml:space="preserve">                                           Derived Values</t>
  </si>
  <si>
    <t xml:space="preserve">                                  Helpful Calculation Tools</t>
  </si>
  <si>
    <t xml:space="preserve"> These make use of the above parameter values, but do not change them </t>
  </si>
  <si>
    <t xml:space="preserve">          High Frequency Corner</t>
  </si>
  <si>
    <t xml:space="preserve">          Low Frequency Corner</t>
  </si>
  <si>
    <t xml:space="preserve">                               Mass Centering - range test</t>
  </si>
  <si>
    <t xml:space="preserve">  Gain Crossover plot</t>
  </si>
  <si>
    <t xml:space="preserve">    Phase Margin plot</t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</si>
  <si>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</si>
  <si>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Inverse Filter</t>
  </si>
  <si>
    <t>The gain-crossover frequency is only used in the 'Loop Phase' spreadsheet.</t>
  </si>
  <si>
    <t>You should allow the Workbook to enable macros, if security programs ask.</t>
  </si>
  <si>
    <t>Created a macro to find the gain-crossover frequency.  The previous asymptote approximations did not work in all cases.</t>
  </si>
  <si>
    <t xml:space="preserve">   Copy the highlighted range of cells.</t>
  </si>
  <si>
    <t xml:space="preserve">   Select cell D14 and Edit&gt;Paste Special&gt;Values     "OK"</t>
  </si>
  <si>
    <t>Provisions were made to apply default parameter sets for various instruments.</t>
  </si>
  <si>
    <r>
      <t>t</t>
    </r>
    <r>
      <rPr>
        <vertAlign val="subscript"/>
        <sz val="12"/>
        <rFont val="Times New Roman"/>
        <family val="1"/>
      </rPr>
      <t>L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</si>
  <si>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Arial"/>
        <family val="2"/>
      </rPr>
      <t>5</t>
    </r>
  </si>
  <si>
    <t>Integrator input resistor</t>
  </si>
  <si>
    <r>
      <t>R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 </t>
    </r>
  </si>
  <si>
    <t>Integrator cap. leakage resistance</t>
  </si>
  <si>
    <t>Inverse filter L.F. pole</t>
  </si>
  <si>
    <t>Inverse filter H.F. zero</t>
  </si>
  <si>
    <r>
      <t>z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</si>
  <si>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r>
      <t>Integrator time constant = 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</t>
    </r>
    <r>
      <rPr>
        <vertAlign val="subscript"/>
        <sz val="10"/>
        <rFont val="Times New Roman"/>
        <family val="1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</t>
    </r>
  </si>
  <si>
    <r>
      <t>Integrator capacitor leakage time constant   = 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C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</t>
    </r>
  </si>
  <si>
    <r>
      <t>(1/</t>
    </r>
    <r>
      <rPr>
        <sz val="14"/>
        <rFont val="Symbol"/>
        <family val="1"/>
      </rPr>
      <t>t</t>
    </r>
    <r>
      <rPr>
        <vertAlign val="subscript"/>
        <sz val="12"/>
        <rFont val="Times New Roman"/>
        <family val="1"/>
      </rPr>
      <t>I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0"/>
      </rPr>
      <t>/(1/</t>
    </r>
    <r>
      <rPr>
        <sz val="14"/>
        <rFont val="Symbol"/>
        <family val="1"/>
      </rPr>
      <t>t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>+j</t>
    </r>
    <r>
      <rPr>
        <sz val="12"/>
        <rFont val="Symbol"/>
        <family val="1"/>
      </rPr>
      <t>w</t>
    </r>
    <r>
      <rPr>
        <sz val="12"/>
        <rFont val="Arial"/>
        <family val="0"/>
      </rPr>
      <t>))/R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</si>
  <si>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r>
      <t>C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=</t>
    </r>
  </si>
  <si>
    <r>
      <t>Leakage resistance of C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</t>
    </r>
  </si>
  <si>
    <t>V / V</t>
  </si>
  <si>
    <r>
      <t>Max value for 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</t>
    </r>
  </si>
  <si>
    <r>
      <t>z</t>
    </r>
    <r>
      <rPr>
        <vertAlign val="subscript"/>
        <sz val="10"/>
        <rFont val="Arial"/>
        <family val="2"/>
      </rPr>
      <t>0</t>
    </r>
    <r>
      <rPr>
        <sz val="12"/>
        <rFont val="Arial"/>
        <family val="2"/>
      </rPr>
      <t xml:space="preserve"> =</t>
    </r>
  </si>
  <si>
    <t xml:space="preserve">   To apply a parameter set, go to row 146 and highlight the cells in an area enclosed in red dashed lines, as desired.</t>
  </si>
  <si>
    <r>
      <t>Added "Derived Values" cells for 'R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>' and 'n'.</t>
    </r>
  </si>
  <si>
    <r>
      <t>Modified 'Integral(j</t>
    </r>
    <r>
      <rPr>
        <sz val="12"/>
        <rFont val="Symbol"/>
        <family val="1"/>
      </rPr>
      <t>w</t>
    </r>
    <r>
      <rPr>
        <sz val="12"/>
        <rFont val="Arial"/>
        <family val="0"/>
      </rPr>
      <t>)' column formulas to make use of new switch cell to select integrator type.</t>
    </r>
  </si>
  <si>
    <t>Added new switch cell to the various 'Parameters' blocks.</t>
  </si>
  <si>
    <t>Added switch cell "Use feedback ckt if Integral used" to allow choice of integrator type - Feedback or Buffered RC</t>
  </si>
  <si>
    <t>In 'Helpful Calculation Tools' the 'Low Frequency Corner' calculations may no longer be correct.  Needs checking.</t>
  </si>
  <si>
    <t>Added and corrected parameters for the STM-8</t>
  </si>
  <si>
    <t>Parameters</t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</si>
  <si>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</si>
  <si>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</si>
  <si>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</si>
  <si>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</si>
  <si>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</si>
  <si>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</si>
  <si>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Times New Roman"/>
        <family val="1"/>
      </rPr>
      <t>I max</t>
    </r>
    <r>
      <rPr>
        <sz val="10"/>
        <rFont val="Arial"/>
        <family val="0"/>
      </rPr>
      <t xml:space="preserve"> =</t>
    </r>
  </si>
  <si>
    <t>Changed many variable names for consistency</t>
  </si>
  <si>
    <t>In general:</t>
  </si>
  <si>
    <t xml:space="preserve">f    </t>
  </si>
  <si>
    <t xml:space="preserve">T   </t>
  </si>
  <si>
    <r>
      <t>w</t>
    </r>
    <r>
      <rPr>
        <sz val="12"/>
        <rFont val="Times New Roman"/>
        <family val="1"/>
      </rPr>
      <t xml:space="preserve">  </t>
    </r>
  </si>
  <si>
    <r>
      <t>angular frequency = 2</t>
    </r>
    <r>
      <rPr>
        <sz val="14"/>
        <rFont val="Symbol"/>
        <family val="1"/>
      </rPr>
      <t>p</t>
    </r>
    <r>
      <rPr>
        <sz val="12"/>
        <rFont val="Times New Roman"/>
        <family val="1"/>
      </rPr>
      <t xml:space="preserve"> f  - </t>
    </r>
    <r>
      <rPr>
        <i/>
        <sz val="12"/>
        <rFont val="Times New Roman"/>
        <family val="1"/>
      </rPr>
      <t>radians</t>
    </r>
    <r>
      <rPr>
        <sz val="12"/>
        <rFont val="Times New Roman"/>
        <family val="1"/>
      </rPr>
      <t>/sec</t>
    </r>
  </si>
  <si>
    <r>
      <t>t</t>
    </r>
    <r>
      <rPr>
        <sz val="12"/>
        <rFont val="Times New Roman"/>
        <family val="1"/>
      </rPr>
      <t xml:space="preserve">   </t>
    </r>
  </si>
  <si>
    <t>Note: Some sources use T for time constants, but I prefer to reserve T to represent oscillation periods.</t>
  </si>
  <si>
    <t>Spring-Mass:</t>
  </si>
  <si>
    <r>
      <t>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</si>
  <si>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K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</si>
  <si>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w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</si>
  <si>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F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</si>
  <si>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</t>
    </r>
  </si>
  <si>
    <r>
      <t>z</t>
    </r>
    <r>
      <rPr>
        <vertAlign val="subscript"/>
        <sz val="12"/>
        <rFont val="Symbol"/>
        <family val="1"/>
      </rPr>
      <t>0</t>
    </r>
    <r>
      <rPr>
        <sz val="12"/>
        <rFont val="Times New Roman"/>
        <family val="1"/>
      </rPr>
      <t xml:space="preserve"> = </t>
    </r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</si>
  <si>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</t>
    </r>
  </si>
  <si>
    <t>spring-mass quality factor</t>
  </si>
  <si>
    <r>
      <t>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</t>
    </r>
  </si>
  <si>
    <t>Feedback Loop:</t>
  </si>
  <si>
    <t xml:space="preserve">A(s)  </t>
  </si>
  <si>
    <t>Transfer function of forward portion of feedback loop.</t>
  </si>
  <si>
    <t xml:space="preserve">B(s)  </t>
  </si>
  <si>
    <t>Transfer function of feedback portion of loop.</t>
  </si>
  <si>
    <r>
      <t>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</t>
    </r>
  </si>
  <si>
    <r>
      <t>t</t>
    </r>
    <r>
      <rPr>
        <vertAlign val="subscript"/>
        <sz val="12"/>
        <rFont val="Times New Roman"/>
        <family val="1"/>
      </rPr>
      <t>t</t>
    </r>
  </si>
  <si>
    <r>
      <t>F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</t>
    </r>
  </si>
  <si>
    <r>
      <t>F</t>
    </r>
    <r>
      <rPr>
        <vertAlign val="subscript"/>
        <sz val="12"/>
        <rFont val="Times New Roman"/>
        <family val="1"/>
      </rPr>
      <t>1</t>
    </r>
  </si>
  <si>
    <r>
      <t>w</t>
    </r>
    <r>
      <rPr>
        <vertAlign val="subscript"/>
        <sz val="12"/>
        <rFont val="Times New Roman"/>
        <family val="1"/>
      </rPr>
      <t>1</t>
    </r>
  </si>
  <si>
    <r>
      <t>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</si>
  <si>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w</t>
    </r>
    <r>
      <rPr>
        <vertAlign val="subscript"/>
        <sz val="12"/>
        <rFont val="Times New Roman"/>
        <family val="1"/>
      </rPr>
      <t>2</t>
    </r>
  </si>
  <si>
    <t>h</t>
  </si>
  <si>
    <r>
      <t>G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</si>
  <si>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r>
      <t>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</si>
  <si>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t xml:space="preserve"> </t>
  </si>
  <si>
    <r>
      <t>C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  </t>
    </r>
  </si>
  <si>
    <r>
      <t>R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</t>
    </r>
  </si>
  <si>
    <r>
      <t>R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  </t>
    </r>
  </si>
  <si>
    <r>
      <t>C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</t>
    </r>
  </si>
  <si>
    <t xml:space="preserve">R5 </t>
  </si>
  <si>
    <r>
      <t>R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  </t>
    </r>
  </si>
  <si>
    <t>Closed loop instrument parameters:</t>
  </si>
  <si>
    <r>
      <t>w</t>
    </r>
    <r>
      <rPr>
        <vertAlign val="subscript"/>
        <sz val="12"/>
        <rFont val="Symbol"/>
        <family val="1"/>
      </rPr>
      <t>H</t>
    </r>
    <r>
      <rPr>
        <sz val="12"/>
        <rFont val="Times New Roman"/>
        <family val="1"/>
      </rPr>
      <t xml:space="preserve"> </t>
    </r>
  </si>
  <si>
    <r>
      <t>F</t>
    </r>
    <r>
      <rPr>
        <vertAlign val="subscript"/>
        <sz val="12"/>
        <rFont val="Times New Roman"/>
        <family val="1"/>
      </rPr>
      <t>H</t>
    </r>
  </si>
  <si>
    <r>
      <t>T</t>
    </r>
    <r>
      <rPr>
        <vertAlign val="subscript"/>
        <sz val="12"/>
        <rFont val="Times New Roman"/>
        <family val="1"/>
      </rPr>
      <t>BB</t>
    </r>
    <r>
      <rPr>
        <sz val="12"/>
        <rFont val="Times New Roman"/>
        <family val="1"/>
      </rPr>
      <t xml:space="preserve"> </t>
    </r>
  </si>
  <si>
    <r>
      <t>F</t>
    </r>
    <r>
      <rPr>
        <vertAlign val="subscript"/>
        <sz val="12"/>
        <rFont val="Times New Roman"/>
        <family val="1"/>
      </rPr>
      <t>BB</t>
    </r>
    <r>
      <rPr>
        <sz val="12"/>
        <rFont val="Times New Roman"/>
        <family val="1"/>
      </rPr>
      <t xml:space="preserve"> </t>
    </r>
  </si>
  <si>
    <r>
      <t>w</t>
    </r>
    <r>
      <rPr>
        <vertAlign val="subscript"/>
        <sz val="12"/>
        <rFont val="Symbol"/>
        <family val="1"/>
      </rPr>
      <t>BB</t>
    </r>
    <r>
      <rPr>
        <sz val="12"/>
        <rFont val="Times New Roman"/>
        <family val="1"/>
      </rPr>
      <t xml:space="preserve"> </t>
    </r>
  </si>
  <si>
    <r>
      <t>z</t>
    </r>
    <r>
      <rPr>
        <vertAlign val="subscript"/>
        <sz val="12"/>
        <rFont val="Times New Roman"/>
        <family val="1"/>
      </rPr>
      <t>BB</t>
    </r>
    <r>
      <rPr>
        <sz val="12"/>
        <rFont val="Times New Roman"/>
        <family val="1"/>
      </rPr>
      <t xml:space="preserve">   </t>
    </r>
  </si>
  <si>
    <t>Effective damping factor of low corner.</t>
  </si>
  <si>
    <t>= A(s) * B(s)</t>
  </si>
  <si>
    <r>
      <t xml:space="preserve">time constant </t>
    </r>
    <r>
      <rPr>
        <sz val="12"/>
        <rFont val="Symbol"/>
        <family val="1"/>
      </rPr>
      <t>º</t>
    </r>
    <r>
      <rPr>
        <sz val="12"/>
        <rFont val="Times New Roman"/>
        <family val="1"/>
      </rPr>
      <t xml:space="preserve"> 1/</t>
    </r>
    <r>
      <rPr>
        <sz val="14"/>
        <rFont val="Symbol"/>
        <family val="1"/>
      </rPr>
      <t>w</t>
    </r>
    <r>
      <rPr>
        <sz val="12"/>
        <rFont val="Times New Roman"/>
        <family val="1"/>
      </rPr>
      <t xml:space="preserve"> = T/2</t>
    </r>
    <r>
      <rPr>
        <sz val="14"/>
        <rFont val="Symbol"/>
        <family val="1"/>
      </rPr>
      <t>p</t>
    </r>
    <r>
      <rPr>
        <sz val="12"/>
        <rFont val="Times New Roman"/>
        <family val="1"/>
      </rPr>
      <t xml:space="preserve"> - sec/</t>
    </r>
    <r>
      <rPr>
        <i/>
        <sz val="12"/>
        <rFont val="Times New Roman"/>
        <family val="1"/>
      </rPr>
      <t>radian</t>
    </r>
    <r>
      <rPr>
        <sz val="12"/>
        <rFont val="Times New Roman"/>
        <family val="1"/>
      </rPr>
      <t xml:space="preserve">    </t>
    </r>
  </si>
  <si>
    <t>Added 'Parameters' worksheet to explain parameters</t>
  </si>
  <si>
    <t>Added new parameter set 'D N Vertical' for Dave Nelson's new vertical</t>
  </si>
  <si>
    <t xml:space="preserve">     To use:  In 'Control' go down to line 146.  Highlight (select) the desired set--everything within the dashed red line.</t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</si>
  <si>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</si>
  <si>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t>Dependent, computed, variables are highlighted in blue.  These cells are locked.</t>
  </si>
  <si>
    <t>Input parameters and variables as used in the 'Control' spreadsheet</t>
  </si>
  <si>
    <t>Independent, input, parameters are highlighted in yellow.  Yellow cells may be altered.</t>
  </si>
  <si>
    <r>
      <t xml:space="preserve">These tools help find the proper parameters to get the desired mid-band velocity response, low and high frequency </t>
    </r>
  </si>
  <si>
    <r>
      <t>any one</t>
    </r>
    <r>
      <rPr>
        <sz val="12"/>
        <rFont val="Arial"/>
        <family val="0"/>
      </rPr>
      <t xml:space="preserve"> of the 3 or 4 suggested parameter values is entered in the 'Parameters' section, the target value will be obtained.</t>
    </r>
  </si>
  <si>
    <t xml:space="preserve">The variables below the 'target' cells show what each variable value should be to get the associated target value, given that </t>
  </si>
  <si>
    <t>the other related variables are the ones currently in the 'Parameters' section</t>
  </si>
  <si>
    <r>
      <t>response corners, and help find 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so that the integrator range is adequate to offset expected mass error forces.  If</t>
    </r>
  </si>
  <si>
    <t>Subscripts:</t>
  </si>
  <si>
    <t>Spring-Mass</t>
  </si>
  <si>
    <t>t</t>
  </si>
  <si>
    <t>Position Transducer</t>
  </si>
  <si>
    <t>Bessel Filter, if used</t>
  </si>
  <si>
    <t>1, 2</t>
  </si>
  <si>
    <t>n</t>
  </si>
  <si>
    <t>Forcing coil</t>
  </si>
  <si>
    <t>Integral feedback branch</t>
  </si>
  <si>
    <t>Integral capacitor Leakage</t>
  </si>
  <si>
    <t>d</t>
  </si>
  <si>
    <t>Derivative feedback branch</t>
  </si>
  <si>
    <t>p</t>
  </si>
  <si>
    <t>Proportional feedback branch</t>
  </si>
  <si>
    <t>High corner of instrument response</t>
  </si>
  <si>
    <t>Low corner of instrument response</t>
  </si>
  <si>
    <t>Added 'Subscripts' section to 'Parameters' worksheet</t>
  </si>
  <si>
    <t>Displacement transducer time constant  (or added pole anywhere in A(s))</t>
  </si>
  <si>
    <r>
      <t xml:space="preserve">To create the correct value for </t>
    </r>
    <r>
      <rPr>
        <u val="single"/>
        <sz val="12"/>
        <rFont val="Arial"/>
        <family val="2"/>
      </rPr>
      <t>G</t>
    </r>
    <r>
      <rPr>
        <sz val="12"/>
        <rFont val="Arial"/>
        <family val="0"/>
      </rPr>
      <t>ain-crossover, press &lt;ctrl&gt;'g'</t>
    </r>
  </si>
  <si>
    <r>
      <t>R</t>
    </r>
    <r>
      <rPr>
        <vertAlign val="subscript"/>
        <sz val="10"/>
        <rFont val="Arial"/>
        <family val="2"/>
      </rPr>
      <t>LI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</si>
  <si>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LI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</si>
  <si>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2"/>
        <rFont val="Times New Roman"/>
        <family val="1"/>
      </rPr>
      <t>LI</t>
    </r>
  </si>
  <si>
    <r>
      <t>t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 xml:space="preserve"> </t>
    </r>
  </si>
  <si>
    <r>
      <t>R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 xml:space="preserve"> </t>
    </r>
  </si>
  <si>
    <r>
      <t xml:space="preserve">Added Integrator capacitor leakage time-constant, </t>
    </r>
    <r>
      <rPr>
        <sz val="14"/>
        <rFont val="Symbol"/>
        <family val="1"/>
      </rPr>
      <t>t</t>
    </r>
    <r>
      <rPr>
        <vertAlign val="subscript"/>
        <sz val="12"/>
        <rFont val="Arial"/>
        <family val="2"/>
      </rPr>
      <t>LI</t>
    </r>
    <r>
      <rPr>
        <sz val="12"/>
        <rFont val="Arial"/>
        <family val="0"/>
      </rPr>
      <t xml:space="preserve"> </t>
    </r>
  </si>
  <si>
    <r>
      <t xml:space="preserve">Changed variable names, 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>, F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>, T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z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, to 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>, F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>, T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 xml:space="preserve">, </t>
    </r>
    <r>
      <rPr>
        <sz val="12"/>
        <rFont val="Symbol"/>
        <family val="1"/>
      </rPr>
      <t>z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 xml:space="preserve"> to avoid confusion with leakage time constant </t>
    </r>
    <r>
      <rPr>
        <sz val="12"/>
        <rFont val="Symbol"/>
        <family val="1"/>
      </rPr>
      <t>t</t>
    </r>
    <r>
      <rPr>
        <vertAlign val="subscript"/>
        <sz val="12"/>
        <rFont val="Arial"/>
        <family val="2"/>
      </rPr>
      <t>LI</t>
    </r>
    <r>
      <rPr>
        <sz val="12"/>
        <rFont val="Arial"/>
        <family val="0"/>
      </rPr>
      <t xml:space="preserve">. </t>
    </r>
  </si>
  <si>
    <t>LI</t>
  </si>
  <si>
    <r>
      <t>Leakage attenuation factor in buffered integrator V/V  = R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>/(R5 + R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>)</t>
    </r>
  </si>
  <si>
    <t xml:space="preserve">     prevented from running in worksheets other than 'Control'.</t>
  </si>
  <si>
    <r>
      <t>F</t>
    </r>
    <r>
      <rPr>
        <sz val="12"/>
        <rFont val="Arial"/>
        <family val="0"/>
      </rPr>
      <t>alseIn</t>
    </r>
  </si>
  <si>
    <r>
      <t>P</t>
    </r>
    <r>
      <rPr>
        <sz val="12"/>
        <rFont val="Arial"/>
        <family val="0"/>
      </rPr>
      <t>rotectAll</t>
    </r>
  </si>
  <si>
    <r>
      <t>T</t>
    </r>
    <r>
      <rPr>
        <sz val="12"/>
        <rFont val="Arial"/>
        <family val="2"/>
      </rPr>
      <t>rueIn</t>
    </r>
  </si>
  <si>
    <r>
      <t>BB</t>
    </r>
    <r>
      <rPr>
        <b/>
        <u val="single"/>
        <sz val="12"/>
        <rFont val="Arial"/>
        <family val="2"/>
      </rPr>
      <t>D</t>
    </r>
    <r>
      <rPr>
        <sz val="12"/>
        <rFont val="Arial"/>
        <family val="0"/>
      </rPr>
      <t>amping</t>
    </r>
  </si>
  <si>
    <t>Macros used in this workbook</t>
  </si>
  <si>
    <r>
      <t>G</t>
    </r>
    <r>
      <rPr>
        <sz val="12"/>
        <rFont val="Arial"/>
        <family val="0"/>
      </rPr>
      <t>ainCrossover</t>
    </r>
  </si>
  <si>
    <t>Added Worksheet 'Macros' to describe all macros available in this workbook.</t>
  </si>
  <si>
    <r>
      <t>Changed macro to allow &lt;ctrl&gt;'</t>
    </r>
    <r>
      <rPr>
        <b/>
        <sz val="12"/>
        <rFont val="Courier New"/>
        <family val="3"/>
      </rPr>
      <t>l</t>
    </r>
    <r>
      <rPr>
        <sz val="12"/>
        <rFont val="Arial"/>
        <family val="0"/>
      </rPr>
      <t>' to preserve cell locking (right two columns) when copying.</t>
    </r>
  </si>
  <si>
    <r>
      <t xml:space="preserve">Changed variable names from </t>
    </r>
    <r>
      <rPr>
        <sz val="14"/>
        <rFont val="Symbol"/>
        <family val="1"/>
      </rPr>
      <t>t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 to </t>
    </r>
    <r>
      <rPr>
        <sz val="14"/>
        <rFont val="Symbol"/>
        <family val="1"/>
      </rPr>
      <t>t</t>
    </r>
    <r>
      <rPr>
        <vertAlign val="subscript"/>
        <sz val="12"/>
        <rFont val="Arial"/>
        <family val="2"/>
      </rPr>
      <t>L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and R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 to R</t>
    </r>
    <r>
      <rPr>
        <vertAlign val="subscript"/>
        <sz val="12"/>
        <rFont val="Arial"/>
        <family val="2"/>
      </rPr>
      <t>L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</si>
  <si>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r>
      <t>Modified macro &lt;ctrl&gt;'</t>
    </r>
    <r>
      <rPr>
        <b/>
        <sz val="12"/>
        <rFont val="Courier New"/>
        <family val="3"/>
      </rPr>
      <t>l</t>
    </r>
    <r>
      <rPr>
        <sz val="12"/>
        <rFont val="Arial"/>
        <family val="0"/>
      </rPr>
      <t>' '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0"/>
      </rPr>
      <t>oad Parameters' so that only upper left cell of parameter set needs to be selected.  Macro also</t>
    </r>
  </si>
  <si>
    <r>
      <t xml:space="preserve">Added macro &lt;ctrl&gt;'p' to </t>
    </r>
    <r>
      <rPr>
        <b/>
        <u val="single"/>
        <sz val="12"/>
        <rFont val="Arial"/>
        <family val="2"/>
      </rPr>
      <t>P</t>
    </r>
    <r>
      <rPr>
        <sz val="12"/>
        <rFont val="Arial"/>
        <family val="0"/>
      </rPr>
      <t>rotect all worksheets and charts.</t>
    </r>
  </si>
  <si>
    <r>
      <t>Added macros &lt;ctrl&gt;'t' and ,&lt;ctrl&gt;'f' to set selected cell to '</t>
    </r>
    <r>
      <rPr>
        <b/>
        <u val="single"/>
        <sz val="12"/>
        <rFont val="Arial"/>
        <family val="2"/>
      </rPr>
      <t>T</t>
    </r>
    <r>
      <rPr>
        <sz val="12"/>
        <rFont val="Arial"/>
        <family val="0"/>
      </rPr>
      <t>RUE' or '</t>
    </r>
    <r>
      <rPr>
        <b/>
        <u val="single"/>
        <sz val="12"/>
        <rFont val="Arial"/>
        <family val="2"/>
      </rPr>
      <t>F</t>
    </r>
    <r>
      <rPr>
        <sz val="12"/>
        <rFont val="Arial"/>
        <family val="0"/>
      </rPr>
      <t>ALSE'</t>
    </r>
  </si>
  <si>
    <r>
      <t xml:space="preserve">     then type &lt;ctrl&gt;'</t>
    </r>
    <r>
      <rPr>
        <b/>
        <sz val="12"/>
        <rFont val="Courier New"/>
        <family val="3"/>
      </rPr>
      <t>l</t>
    </r>
    <r>
      <rPr>
        <sz val="12"/>
        <rFont val="Arial"/>
        <family val="0"/>
      </rPr>
      <t xml:space="preserve">' to 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0"/>
      </rPr>
      <t>oad the selected parameter set into the working area at A14:F40</t>
    </r>
  </si>
  <si>
    <r>
      <t xml:space="preserve">Added &lt;ctrl&gt;'d' macro to set the lower closed-loop corner to 0.707..of critical </t>
    </r>
    <r>
      <rPr>
        <b/>
        <u val="single"/>
        <sz val="12"/>
        <rFont val="Arial"/>
        <family val="2"/>
      </rPr>
      <t>D</t>
    </r>
    <r>
      <rPr>
        <sz val="12"/>
        <rFont val="Arial"/>
        <family val="0"/>
      </rPr>
      <t>amping.</t>
    </r>
  </si>
  <si>
    <r>
      <t>Added &lt;ctrl&gt;'</t>
    </r>
    <r>
      <rPr>
        <b/>
        <sz val="12"/>
        <rFont val="Courier New"/>
        <family val="3"/>
      </rPr>
      <t>l</t>
    </r>
    <r>
      <rPr>
        <sz val="12"/>
        <rFont val="Arial"/>
        <family val="0"/>
      </rPr>
      <t xml:space="preserve">' macro to 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0"/>
      </rPr>
      <t>oad the selected parameter set.</t>
    </r>
  </si>
  <si>
    <t xml:space="preserve"> Integrator is feedback type</t>
  </si>
  <si>
    <r>
      <t xml:space="preserve">Modified macro 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0"/>
      </rPr>
      <t>oad Parameters so that it exits if selected cell/range is not in the upper left corner of a parameter set.</t>
    </r>
  </si>
  <si>
    <r>
      <t>V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= ±</t>
    </r>
  </si>
  <si>
    <r>
      <t xml:space="preserve">Modified macro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0"/>
      </rPr>
      <t>ainCrossover so that it is more likely to converge properly.</t>
    </r>
  </si>
  <si>
    <t>Fixed blank cell AO15, which may have been causing the 'Negative or zero values in Log charts' error message.</t>
  </si>
  <si>
    <r>
      <t xml:space="preserve">Set macro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0"/>
      </rPr>
      <t>ainCrossover to run whenever chart 'Loop Phase' is opened.</t>
    </r>
  </si>
  <si>
    <t>This affects only the Chart 'Loop Phase' and is run automatically whenever chart 'Loop Phase' is opened.</t>
  </si>
  <si>
    <r>
      <t xml:space="preserve">Tweaked macro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0"/>
      </rPr>
      <t>ainCrossover to fix the fact that it still wasn't always converging</t>
    </r>
  </si>
  <si>
    <t>Set the new parameters for 'DN Vertical' and made it the default parameter set.</t>
  </si>
  <si>
    <t>Cell D65 was requiring an exact match before indicating 'Matches'.  Set it to be like the others, ±0.01% for match.</t>
  </si>
  <si>
    <t>Updated to latest parameters for 'DN Vertical'</t>
  </si>
  <si>
    <r>
      <t>Enters '</t>
    </r>
    <r>
      <rPr>
        <b/>
        <u val="single"/>
        <sz val="12"/>
        <rFont val="Arial"/>
        <family val="2"/>
      </rPr>
      <t>F</t>
    </r>
    <r>
      <rPr>
        <sz val="12"/>
        <rFont val="Arial"/>
        <family val="0"/>
      </rPr>
      <t>ALSE' in the selected cell</t>
    </r>
  </si>
  <si>
    <r>
      <t>Sets 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so that feedback path low corner frequency </t>
    </r>
    <r>
      <rPr>
        <b/>
        <u val="single"/>
        <sz val="12"/>
        <rFont val="Arial"/>
        <family val="2"/>
      </rPr>
      <t>D</t>
    </r>
    <r>
      <rPr>
        <sz val="12"/>
        <rFont val="Arial"/>
        <family val="0"/>
      </rPr>
      <t xml:space="preserve">amping, </t>
    </r>
    <r>
      <rPr>
        <sz val="12"/>
        <rFont val="Symbol"/>
        <family val="1"/>
      </rPr>
      <t>z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 xml:space="preserve"> = 0.707....of critical.</t>
    </r>
  </si>
  <si>
    <r>
      <t>Sets all Worksheets and Charts in the workbook to '</t>
    </r>
    <r>
      <rPr>
        <b/>
        <u val="single"/>
        <sz val="12"/>
        <rFont val="Arial"/>
        <family val="2"/>
      </rPr>
      <t>P</t>
    </r>
    <r>
      <rPr>
        <sz val="12"/>
        <rFont val="Arial"/>
        <family val="0"/>
      </rPr>
      <t>rotected'</t>
    </r>
  </si>
  <si>
    <r>
      <t>Enters '</t>
    </r>
    <r>
      <rPr>
        <b/>
        <u val="single"/>
        <sz val="12"/>
        <rFont val="Arial"/>
        <family val="2"/>
      </rPr>
      <t>T</t>
    </r>
    <r>
      <rPr>
        <sz val="12"/>
        <rFont val="Arial"/>
        <family val="0"/>
      </rPr>
      <t>RUE' in the selected cell</t>
    </r>
  </si>
  <si>
    <t>Changed parameter set names from 'DN Vertical' to 'CM-3 Mods' and 'New...CM-3 Mods'</t>
  </si>
  <si>
    <t>On chart Vel. Asymptotes, corrected parameter subscripts to reflect current usage.</t>
  </si>
  <si>
    <r>
      <t>Changed cell A128, 'Spring-Mass resonant frequency' from constant 10 to computed value 1/T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>.</t>
    </r>
  </si>
  <si>
    <t>Changed default parameter sets 'CM-3 Mods' and 'New...CM-3 Mods' to match current values.</t>
  </si>
  <si>
    <t>Added some calculations for R2, 3, 4 &amp; C1 in the New CM-3 Mods data.</t>
  </si>
  <si>
    <t>Added Chart 'Force Response Phase'</t>
  </si>
  <si>
    <t>Closed Loop Transfer Function (Force Resp.)</t>
  </si>
  <si>
    <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=</t>
    </r>
  </si>
  <si>
    <r>
      <t>Added 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and C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to parameters included under 'Low Frequency Corner' in 'Helpful Calculation Tools'</t>
    </r>
  </si>
  <si>
    <t>Changed units (A / V/sec) to Fd and (V/A) to Ohms</t>
  </si>
  <si>
    <t>Added parameter set 'New Parameters #2 for CM-3 Mods'  to document Dave's current CM-3 design</t>
  </si>
  <si>
    <t>Block diagram</t>
  </si>
  <si>
    <t>frequency</t>
  </si>
  <si>
    <t>seconds</t>
  </si>
  <si>
    <r>
      <t xml:space="preserve">period </t>
    </r>
    <r>
      <rPr>
        <sz val="12"/>
        <rFont val="Symbol"/>
        <family val="1"/>
      </rPr>
      <t>º</t>
    </r>
    <r>
      <rPr>
        <sz val="12"/>
        <rFont val="Times New Roman"/>
        <family val="1"/>
      </rPr>
      <t xml:space="preserve"> 1/f</t>
    </r>
  </si>
  <si>
    <r>
      <t>sec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</t>
    </r>
  </si>
  <si>
    <t>Kg</t>
  </si>
  <si>
    <t>effective seismic mass</t>
  </si>
  <si>
    <t>Newtons/meter</t>
  </si>
  <si>
    <r>
      <t>effective spring constant measured at mass 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location = dForce/dx</t>
    </r>
  </si>
  <si>
    <r>
      <t>radians</t>
    </r>
    <r>
      <rPr>
        <sz val="12"/>
        <rFont val="Times New Roman"/>
        <family val="1"/>
      </rPr>
      <t>/sec</t>
    </r>
  </si>
  <si>
    <t>natural frequency of spring-mass</t>
  </si>
  <si>
    <t xml:space="preserve">Hz </t>
  </si>
  <si>
    <t>oscillation period of spring-mass</t>
  </si>
  <si>
    <r>
      <t>sec/</t>
    </r>
    <r>
      <rPr>
        <i/>
        <sz val="12"/>
        <rFont val="Times New Roman"/>
        <family val="1"/>
      </rPr>
      <t>radian</t>
    </r>
    <r>
      <rPr>
        <sz val="12"/>
        <rFont val="Times New Roman"/>
        <family val="1"/>
      </rPr>
      <t xml:space="preserve"> </t>
    </r>
  </si>
  <si>
    <t>oscillation time constant of spring-mass</t>
  </si>
  <si>
    <t>Newton-sec/meter</t>
  </si>
  <si>
    <t>mechanical velocity damping</t>
  </si>
  <si>
    <t>* various</t>
  </si>
  <si>
    <t>Volts / meter</t>
  </si>
  <si>
    <r>
      <t xml:space="preserve">Displacement transducer+amplifier  DC gain (not including any Inverse Filter).  Note that this is Volts out/meters in, </t>
    </r>
    <r>
      <rPr>
        <b/>
        <i/>
        <sz val="12"/>
        <rFont val="Times New Roman"/>
        <family val="1"/>
      </rPr>
      <t>as measured at the position of the mass</t>
    </r>
    <r>
      <rPr>
        <sz val="12"/>
        <rFont val="Times New Roman"/>
        <family val="1"/>
      </rPr>
      <t>.</t>
    </r>
  </si>
  <si>
    <t>Bessel Filter (if used) corner frequency</t>
  </si>
  <si>
    <t>Inverse Filter (if used) lower corner frequency (pole)</t>
  </si>
  <si>
    <t>Inverse Filter (if used) upper corner frequency (zero)</t>
  </si>
  <si>
    <t>V/V</t>
  </si>
  <si>
    <r>
      <t>Inverse Filter (if used) DC gain     = 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F</t>
    </r>
    <r>
      <rPr>
        <vertAlign val="subscript"/>
        <sz val="12"/>
        <rFont val="Times New Roman"/>
        <family val="1"/>
      </rPr>
      <t>1</t>
    </r>
  </si>
  <si>
    <t>Newtons/Amp</t>
  </si>
  <si>
    <r>
      <t xml:space="preserve">Force transducer constant - Note that this is Force out/current in </t>
    </r>
    <r>
      <rPr>
        <b/>
        <i/>
        <sz val="12"/>
        <rFont val="Times New Roman"/>
        <family val="1"/>
      </rPr>
      <t>as referred to the position of the mass</t>
    </r>
    <r>
      <rPr>
        <sz val="12"/>
        <rFont val="Times New Roman"/>
        <family val="1"/>
      </rPr>
      <t>.</t>
    </r>
  </si>
  <si>
    <t>Force transducer resistance</t>
  </si>
  <si>
    <t>Farads</t>
  </si>
  <si>
    <t>Value of capacitor in the derivative feedback branch</t>
  </si>
  <si>
    <r>
      <t>Resistance, if any, in series with C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(Should normally be set = 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)</t>
    </r>
  </si>
  <si>
    <t>Value of integral feedback scaling resistor</t>
  </si>
  <si>
    <t>Value of integrator capacitor</t>
  </si>
  <si>
    <t>Value of integrator input resistor</t>
  </si>
  <si>
    <t>Value of integrator capacitor leakage resistance</t>
  </si>
  <si>
    <t>Seconds</t>
  </si>
  <si>
    <r>
      <t>Integrator capacitor leakage time constant = R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I</t>
    </r>
  </si>
  <si>
    <t>Value of resistor in proportional feedback branch</t>
  </si>
  <si>
    <r>
      <t>A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 xml:space="preserve"> </t>
    </r>
  </si>
  <si>
    <t>Volt-sec/meter</t>
  </si>
  <si>
    <t>Instrument mid-band velocity response ‘generator constant’</t>
  </si>
  <si>
    <r>
      <t>Upper corner frequency (</t>
    </r>
    <r>
      <rPr>
        <sz val="12"/>
        <rFont val="Symbol"/>
        <family val="1"/>
      </rPr>
      <t>»</t>
    </r>
    <r>
      <rPr>
        <sz val="12"/>
        <rFont val="Times New Roman"/>
        <family val="1"/>
      </rPr>
      <t xml:space="preserve"> gain-crossover frequency)</t>
    </r>
    <r>
      <rPr>
        <sz val="12"/>
        <rFont val="Times New Roman"/>
        <family val="1"/>
      </rPr>
      <t xml:space="preserve"> </t>
    </r>
  </si>
  <si>
    <r>
      <t>Upper corner frequency (</t>
    </r>
    <r>
      <rPr>
        <sz val="12"/>
        <rFont val="Symbol"/>
        <family val="1"/>
      </rPr>
      <t>»</t>
    </r>
    <r>
      <rPr>
        <sz val="12"/>
        <rFont val="Times New Roman"/>
        <family val="1"/>
      </rPr>
      <t xml:space="preserve">  gain-crossover frequency)</t>
    </r>
  </si>
  <si>
    <t>Lower corner period</t>
  </si>
  <si>
    <t>Lower corner frequency</t>
  </si>
  <si>
    <r>
      <t>Lower corner frequency</t>
    </r>
    <r>
      <rPr>
        <sz val="12"/>
        <rFont val="Times New Roman"/>
        <family val="1"/>
      </rPr>
      <t xml:space="preserve"> </t>
    </r>
  </si>
  <si>
    <r>
      <t>* Depending on the units used to describe the ground motion: for A, these could be Volts/meter, Volt-sec/meter, Volt-sec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/meter, or when the latter is divided by the mass value, Volts/Newton.  The units for 1/B, will be the same, and for B, they will be the inverse of these.</t>
    </r>
  </si>
  <si>
    <t xml:space="preserve">Moved the block diagram from 'Variables-Old' to 'Parameters' </t>
  </si>
  <si>
    <r>
      <t>Only parameter not affecting 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.</t>
    </r>
  </si>
  <si>
    <r>
      <t>Added M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in 'Helpful Calculation Tools' 'Mid Band Velocity Response'</t>
    </r>
  </si>
  <si>
    <t>Updated the block diagram in 'Parameters'</t>
  </si>
  <si>
    <r>
      <t xml:space="preserve">Changed formula for </t>
    </r>
    <r>
      <rPr>
        <sz val="12"/>
        <rFont val="Arial"/>
        <family val="2"/>
      </rPr>
      <t>F</t>
    </r>
    <r>
      <rPr>
        <vertAlign val="subscript"/>
        <sz val="12"/>
        <rFont val="Arial"/>
        <family val="2"/>
      </rPr>
      <t>offset</t>
    </r>
    <r>
      <rPr>
        <sz val="12"/>
        <rFont val="Arial"/>
        <family val="0"/>
      </rPr>
      <t xml:space="preserve"> in Control!D92 to use the constant 9.81 N/kg not 0.981 N/kg.</t>
    </r>
  </si>
  <si>
    <t>Parameters for DN Vertical</t>
  </si>
  <si>
    <t>Parameters for STM-8</t>
  </si>
  <si>
    <t>Parameters for STS-2</t>
  </si>
  <si>
    <t>Bessel Filter</t>
  </si>
  <si>
    <t>Displacement Amp. Gain Boost - "inverse filter"</t>
  </si>
  <si>
    <r>
      <t>L</t>
    </r>
    <r>
      <rPr>
        <sz val="12"/>
        <rFont val="Arial"/>
        <family val="0"/>
      </rPr>
      <t>oadParamSet</t>
    </r>
  </si>
  <si>
    <r>
      <t>E</t>
    </r>
    <r>
      <rPr>
        <sz val="12"/>
        <rFont val="Arial"/>
        <family val="0"/>
      </rPr>
      <t>raseParamSet</t>
    </r>
  </si>
  <si>
    <r>
      <t>S</t>
    </r>
    <r>
      <rPr>
        <sz val="12"/>
        <rFont val="Arial"/>
        <family val="2"/>
      </rPr>
      <t>aveParamSet</t>
    </r>
  </si>
  <si>
    <r>
      <t>Added macros '</t>
    </r>
    <r>
      <rPr>
        <b/>
        <u val="single"/>
        <sz val="12"/>
        <rFont val="Arial"/>
        <family val="2"/>
      </rPr>
      <t>S</t>
    </r>
    <r>
      <rPr>
        <sz val="12"/>
        <rFont val="Arial"/>
        <family val="0"/>
      </rPr>
      <t>aveParameterSet' and '</t>
    </r>
    <r>
      <rPr>
        <b/>
        <u val="single"/>
        <sz val="12"/>
        <rFont val="Arial"/>
        <family val="2"/>
      </rPr>
      <t>E</t>
    </r>
    <r>
      <rPr>
        <sz val="12"/>
        <rFont val="Arial"/>
        <family val="0"/>
      </rPr>
      <t>raseParameterSet'</t>
    </r>
  </si>
  <si>
    <r>
      <t>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</si>
  <si>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</si>
  <si>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x 1/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</si>
  <si>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V/ N/s</t>
  </si>
  <si>
    <t>V / N/s</t>
  </si>
  <si>
    <t>Added columns P and AN  relating to force rate response  Volts / N/s</t>
  </si>
  <si>
    <t>Added chart 'Force Rate Resp.'  Which plots that variable.</t>
  </si>
  <si>
    <t>Eliminated unused column AJ</t>
  </si>
  <si>
    <t>Simplified all terms 'COMPLEX(A,0,"j")' to just 'A'</t>
  </si>
  <si>
    <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</t>
    </r>
  </si>
  <si>
    <r>
      <t>Eliminated A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current amplifier parameter and replaced it with A</t>
    </r>
    <r>
      <rPr>
        <vertAlign val="subscript"/>
        <sz val="12"/>
        <rFont val="Arial"/>
        <family val="2"/>
      </rPr>
      <t>4</t>
    </r>
    <r>
      <rPr>
        <sz val="12"/>
        <rFont val="Arial"/>
        <family val="0"/>
      </rPr>
      <t>, the voltage gain of A4B,A5</t>
    </r>
  </si>
  <si>
    <r>
      <t>Changed 'Helpful Calculation Tools' to include A</t>
    </r>
    <r>
      <rPr>
        <vertAlign val="subscript"/>
        <sz val="12"/>
        <rFont val="Arial"/>
        <family val="2"/>
      </rPr>
      <t>4</t>
    </r>
    <r>
      <rPr>
        <sz val="12"/>
        <rFont val="Arial"/>
        <family val="0"/>
      </rPr>
      <t xml:space="preserve"> and its effects.</t>
    </r>
  </si>
  <si>
    <r>
      <t>Removed column 'L' which only contained 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0"/>
      </rPr>
      <t xml:space="preserve"> in all rows.</t>
    </r>
  </si>
  <si>
    <t>Removed hidden rows containing formulas as text.</t>
  </si>
  <si>
    <r>
      <t>A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</si>
  <si>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>Volts/Volt</t>
  </si>
  <si>
    <t>Voltage gain of the amplifier driving the Derivative and Proportional branches</t>
  </si>
  <si>
    <r>
      <t>A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= </t>
    </r>
  </si>
  <si>
    <t>Integrator DC Gain</t>
  </si>
  <si>
    <t>Guralp Vertical Channel</t>
  </si>
  <si>
    <t>&lt;ctrl&gt;'D'</t>
  </si>
  <si>
    <t>&lt;ctrl&gt;'E'</t>
  </si>
  <si>
    <t>&lt;ctrl&gt;'F'</t>
  </si>
  <si>
    <r>
      <t>&lt;ctrl&gt;'L</t>
    </r>
    <r>
      <rPr>
        <sz val="12"/>
        <rFont val="Arial"/>
        <family val="0"/>
      </rPr>
      <t>'</t>
    </r>
  </si>
  <si>
    <t>&lt;ctrl&gt;'G'</t>
  </si>
  <si>
    <t>&lt;ctrl&gt;'P'</t>
  </si>
  <si>
    <t>&lt;ctrl&gt;'S'</t>
  </si>
  <si>
    <t>&lt;ctrl&gt;'T'</t>
  </si>
  <si>
    <t>Changed all macros to require upper case, i.e. &lt;ctrl&gt;&lt;shift&gt;, when calling, to avoid conflicts with Excel's shortcut keys.</t>
  </si>
  <si>
    <r>
      <t>Note: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The gray elements may or may not be used in any given design.</t>
    </r>
  </si>
  <si>
    <t>d Force=±</t>
  </si>
  <si>
    <r>
      <t>F</t>
    </r>
    <r>
      <rPr>
        <vertAlign val="subscript"/>
        <sz val="10"/>
        <rFont val="Arial"/>
        <family val="2"/>
      </rPr>
      <t>offset</t>
    </r>
    <r>
      <rPr>
        <sz val="10"/>
        <rFont val="Arial"/>
        <family val="0"/>
      </rPr>
      <t xml:space="preserve"> =±</t>
    </r>
  </si>
  <si>
    <r>
      <t>I</t>
    </r>
    <r>
      <rPr>
        <vertAlign val="subscript"/>
        <sz val="10"/>
        <rFont val="Arial"/>
        <family val="2"/>
      </rPr>
      <t>offset</t>
    </r>
    <r>
      <rPr>
        <sz val="10"/>
        <rFont val="Arial"/>
        <family val="0"/>
      </rPr>
      <t xml:space="preserve"> =±</t>
    </r>
  </si>
  <si>
    <t>Updated the block diagram in 'Parameters' worksheet.</t>
  </si>
  <si>
    <t>Initial Value</t>
  </si>
  <si>
    <t>Not used yet</t>
  </si>
  <si>
    <t>Sample Design</t>
  </si>
  <si>
    <t>Required force change</t>
  </si>
  <si>
    <t>Required current change</t>
  </si>
  <si>
    <t>Changed parameters in "Sample Design" to match the documentation.</t>
  </si>
  <si>
    <t>Revised 25 May, 2009</t>
  </si>
  <si>
    <t>Vertical Broad Band Loop Design</t>
  </si>
  <si>
    <t xml:space="preserve">Erases the values of a saved parameter set to free up space for new saved sets.  </t>
  </si>
  <si>
    <t>If something other than the upper cell of a parameter set was selected, this macro will do nothing.</t>
  </si>
  <si>
    <r>
      <t xml:space="preserve">To use, locate the saved parameter sets, found at line 125 of the 'Control' worksheet.  Each parameter set is enclosed in a dashed red line.  Select (click on) the upper title cell of the desired  parameter set.  Then type &lt;ctrl&gt;&lt;shift&gt;'L' to </t>
    </r>
    <r>
      <rPr>
        <b/>
        <u val="single"/>
        <sz val="11"/>
        <rFont val="Arial"/>
        <family val="2"/>
      </rPr>
      <t>L</t>
    </r>
    <r>
      <rPr>
        <sz val="11"/>
        <rFont val="Arial"/>
        <family val="0"/>
      </rPr>
      <t xml:space="preserve">oad that set into the working parameters area at C5:F34.  </t>
    </r>
  </si>
  <si>
    <r>
      <t xml:space="preserve">Sets cell A120 to the frequency which results in loop gain = 1, the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2"/>
      </rPr>
      <t>ain Crossover frequency.</t>
    </r>
  </si>
  <si>
    <t>Note that these are now all upper case.  Use &lt;ctrl&gt;&lt;shift&gt; when entering them.</t>
  </si>
  <si>
    <r>
      <t>S</t>
    </r>
    <r>
      <rPr>
        <sz val="12"/>
        <rFont val="Arial"/>
        <family val="2"/>
      </rPr>
      <t>aves the current parameter set in the first available space at line 125.</t>
    </r>
  </si>
  <si>
    <r>
      <t>To use, locate the saved parameter sets, found at line 125 of the 'Control' worksheet.  Each parameter set is enclosed in a dashed red line.  Select (click on) the upper title cell of the desired  parameter set.  Then type &lt;ctrl&gt;&lt;shift&gt;'</t>
    </r>
    <r>
      <rPr>
        <b/>
        <sz val="11"/>
        <rFont val="Courier New"/>
        <family val="3"/>
      </rPr>
      <t>E</t>
    </r>
    <r>
      <rPr>
        <sz val="11"/>
        <rFont val="Arial"/>
        <family val="0"/>
      </rPr>
      <t xml:space="preserve">' to </t>
    </r>
    <r>
      <rPr>
        <b/>
        <u val="single"/>
        <sz val="11"/>
        <rFont val="Arial"/>
        <family val="2"/>
      </rPr>
      <t>E</t>
    </r>
    <r>
      <rPr>
        <sz val="11"/>
        <rFont val="Arial"/>
        <family val="2"/>
      </rPr>
      <t>rase</t>
    </r>
    <r>
      <rPr>
        <sz val="11"/>
        <rFont val="Arial"/>
        <family val="0"/>
      </rPr>
      <t xml:space="preserve"> that set.  This frees up space for </t>
    </r>
    <r>
      <rPr>
        <b/>
        <u val="single"/>
        <sz val="11"/>
        <rFont val="Arial"/>
        <family val="2"/>
      </rPr>
      <t>S</t>
    </r>
    <r>
      <rPr>
        <sz val="11"/>
        <rFont val="Arial"/>
        <family val="0"/>
      </rPr>
      <t>aving other parameter sets.</t>
    </r>
  </si>
  <si>
    <t>Loads a previously saved parameter set into the working parameters area.</t>
  </si>
  <si>
    <t>file:loop7.xls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</si>
  <si>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</t>
    </r>
  </si>
  <si>
    <t>=±25degC x 240ppm/degC</t>
  </si>
  <si>
    <t>Parameters for FBV</t>
  </si>
  <si>
    <t>Parameters for FBV w/A4 = 0.857</t>
  </si>
  <si>
    <t xml:space="preserve">       Parameters for Allan Coleman's MkXX</t>
  </si>
  <si>
    <t>Variable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</si>
  <si>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</si>
  <si>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</si>
  <si>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</si>
  <si>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</si>
  <si>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</si>
  <si>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</si>
  <si>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</si>
  <si>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</si>
  <si>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</si>
  <si>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</si>
  <si>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</si>
  <si>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</si>
  <si>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</si>
  <si>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</si>
  <si>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</si>
  <si>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D31</t>
  </si>
  <si>
    <t>D32</t>
  </si>
  <si>
    <t>D34</t>
  </si>
  <si>
    <t>D7</t>
  </si>
  <si>
    <t>D8</t>
  </si>
  <si>
    <t>D9</t>
  </si>
  <si>
    <t>D10</t>
  </si>
  <si>
    <t>D11</t>
  </si>
  <si>
    <t>D12</t>
  </si>
  <si>
    <r>
      <t>C</t>
    </r>
    <r>
      <rPr>
        <vertAlign val="subscript"/>
        <sz val="10"/>
        <rFont val="Arial"/>
        <family val="2"/>
      </rPr>
      <t>d</t>
    </r>
  </si>
  <si>
    <r>
      <t>R</t>
    </r>
    <r>
      <rPr>
        <vertAlign val="subscript"/>
        <sz val="10"/>
        <rFont val="Arial"/>
        <family val="2"/>
      </rPr>
      <t>c</t>
    </r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</si>
  <si>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</si>
  <si>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r>
      <t>t</t>
    </r>
    <r>
      <rPr>
        <vertAlign val="subscript"/>
        <sz val="10"/>
        <rFont val="Arial"/>
        <family val="2"/>
      </rPr>
      <t>LI</t>
    </r>
    <r>
      <rPr>
        <sz val="10"/>
        <rFont val="Arial"/>
        <family val="0"/>
      </rPr>
      <t xml:space="preserve"> </t>
    </r>
  </si>
  <si>
    <r>
      <t>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</si>
  <si>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</si>
  <si>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</si>
  <si>
    <r>
      <t>G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</si>
  <si>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</t>
    </r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</si>
  <si>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</si>
  <si>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</si>
  <si>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z</t>
    </r>
    <r>
      <rPr>
        <vertAlign val="subscript"/>
        <sz val="10"/>
        <rFont val="Arial"/>
        <family val="2"/>
      </rPr>
      <t>0</t>
    </r>
    <r>
      <rPr>
        <sz val="12"/>
        <rFont val="Arial"/>
        <family val="2"/>
      </rPr>
      <t xml:space="preserve"> 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</si>
  <si>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</si>
  <si>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</si>
  <si>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</si>
  <si>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</si>
  <si>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</si>
  <si>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t>Mag B</t>
  </si>
  <si>
    <r>
      <t>Sum(j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</si>
  <si>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>x 1/</t>
    </r>
    <r>
      <rPr>
        <sz val="12"/>
        <rFont val="Symbol"/>
        <family val="1"/>
      </rPr>
      <t>w</t>
    </r>
    <r>
      <rPr>
        <sz val="10"/>
        <rFont val="Arial"/>
        <family val="2"/>
      </rPr>
      <t xml:space="preserve"> </t>
    </r>
  </si>
  <si>
    <r>
      <t xml:space="preserve">x M </t>
    </r>
    <r>
      <rPr>
        <sz val="12"/>
        <rFont val="Symbol"/>
        <family val="1"/>
      </rPr>
      <t>w</t>
    </r>
    <r>
      <rPr>
        <sz val="10"/>
        <rFont val="Arial"/>
        <family val="2"/>
      </rPr>
      <t xml:space="preserve"> </t>
    </r>
  </si>
  <si>
    <r>
      <t xml:space="preserve">x M </t>
    </r>
    <r>
      <rPr>
        <sz val="12"/>
        <rFont val="Symbol"/>
        <family val="1"/>
      </rPr>
      <t>w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</si>
  <si>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F(j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</si>
  <si>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 xml:space="preserve">x M 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Symbol"/>
        <family val="1"/>
      </rPr>
      <t xml:space="preserve"> </t>
    </r>
    <r>
      <rPr>
        <vertAlign val="superscript"/>
        <sz val="10"/>
        <rFont val="Arial"/>
        <family val="2"/>
      </rPr>
      <t xml:space="preserve"> </t>
    </r>
  </si>
  <si>
    <r>
      <t xml:space="preserve">x M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</t>
    </r>
  </si>
  <si>
    <r>
      <t>A(j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</si>
  <si>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 xml:space="preserve">x M 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</si>
  <si>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>AB(j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</si>
  <si>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>Total B Path(j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</si>
  <si>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t>Spring -Mass</t>
  </si>
  <si>
    <t>Displ. Ampl.</t>
  </si>
  <si>
    <t>Closed Loop Tr. Function (Force Resp)</t>
  </si>
  <si>
    <r>
      <t>C.L.T.F.  x   M</t>
    </r>
    <r>
      <rPr>
        <sz val="12"/>
        <rFont val="Symbol"/>
        <family val="1"/>
      </rPr>
      <t>w</t>
    </r>
    <r>
      <rPr>
        <sz val="10"/>
        <rFont val="Arial"/>
        <family val="2"/>
      </rPr>
      <t xml:space="preserve"> = Vel Resp.</t>
    </r>
  </si>
  <si>
    <r>
      <t>C.L.T.F. x M</t>
    </r>
    <r>
      <rPr>
        <sz val="12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= Disp Resp</t>
    </r>
  </si>
  <si>
    <t>Cell</t>
  </si>
  <si>
    <t>Expanded Formula</t>
  </si>
  <si>
    <t>True/False</t>
  </si>
  <si>
    <r>
      <t>=2</t>
    </r>
    <r>
      <rPr>
        <sz val="10"/>
        <rFont val="Symbol"/>
        <family val="1"/>
      </rPr>
      <t>p</t>
    </r>
    <r>
      <rPr>
        <sz val="10"/>
        <rFont val="Arial"/>
        <family val="0"/>
      </rPr>
      <t>F</t>
    </r>
  </si>
  <si>
    <r>
      <t>Deriv(j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Deriv True</t>
    </r>
  </si>
  <si>
    <r>
      <t>Deriv(j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Deriv False</t>
    </r>
  </si>
  <si>
    <r>
      <t>Prop(j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Prop True</t>
    </r>
  </si>
  <si>
    <r>
      <t>Prop(j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Prop False</t>
    </r>
  </si>
  <si>
    <r>
      <t>Integral(j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Int True</t>
    </r>
  </si>
  <si>
    <r>
      <t>Integral(j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Int False</t>
    </r>
  </si>
  <si>
    <r>
      <t>= 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/ 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</t>
    </r>
  </si>
  <si>
    <t>??</t>
  </si>
  <si>
    <r>
      <t>= (j</t>
    </r>
    <r>
      <rPr>
        <sz val="10"/>
        <rFont val="Symbol"/>
        <family val="1"/>
      </rPr>
      <t>w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sz val="10"/>
        <rFont val="Arial"/>
        <family val="0"/>
      </rPr>
      <t>/(1+j</t>
    </r>
    <r>
      <rPr>
        <sz val="10"/>
        <rFont val="Symbol"/>
        <family val="1"/>
      </rPr>
      <t>w</t>
    </r>
    <r>
      <rPr>
        <sz val="10"/>
        <rFont val="Arial"/>
        <family val="0"/>
      </rPr>
      <t>(R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))</t>
    </r>
  </si>
  <si>
    <r>
      <t>=1/(R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>((1/R</t>
    </r>
    <r>
      <rPr>
        <vertAlign val="subscript"/>
        <sz val="10"/>
        <rFont val="Times New Roman"/>
        <family val="1"/>
      </rPr>
      <t>LI</t>
    </r>
    <r>
      <rPr>
        <sz val="10"/>
        <rFont val="Arial"/>
        <family val="2"/>
      </rPr>
      <t>)+j</t>
    </r>
    <r>
      <rPr>
        <sz val="10"/>
        <rFont val="Symbol"/>
        <family val="1"/>
      </rPr>
      <t>w</t>
    </r>
    <r>
      <rPr>
        <sz val="10"/>
        <rFont val="Arial"/>
        <family val="2"/>
      </rPr>
      <t>C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>)))</t>
    </r>
  </si>
  <si>
    <r>
      <t>= Mag(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</t>
    </r>
  </si>
  <si>
    <r>
      <t>= G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K</t>
    </r>
    <r>
      <rPr>
        <sz val="10"/>
        <rFont val="Arial"/>
        <family val="0"/>
      </rPr>
      <t xml:space="preserve"> </t>
    </r>
  </si>
  <si>
    <r>
      <t xml:space="preserve">= </t>
    </r>
    <r>
      <rPr>
        <b/>
        <i/>
        <sz val="10"/>
        <rFont val="Arial"/>
        <family val="2"/>
      </rPr>
      <t>H</t>
    </r>
    <r>
      <rPr>
        <sz val="10"/>
        <rFont val="Arial"/>
        <family val="0"/>
      </rPr>
      <t>+</t>
    </r>
    <r>
      <rPr>
        <b/>
        <i/>
        <sz val="10"/>
        <rFont val="Arial"/>
        <family val="2"/>
      </rPr>
      <t>I</t>
    </r>
    <r>
      <rPr>
        <sz val="10"/>
        <rFont val="Arial"/>
        <family val="0"/>
      </rPr>
      <t>+</t>
    </r>
    <r>
      <rPr>
        <b/>
        <i/>
        <sz val="10"/>
        <rFont val="Arial"/>
        <family val="2"/>
      </rPr>
      <t>J</t>
    </r>
    <r>
      <rPr>
        <sz val="10"/>
        <rFont val="Arial"/>
        <family val="0"/>
      </rPr>
      <t xml:space="preserve"> </t>
    </r>
  </si>
  <si>
    <r>
      <t>= 1/Mag(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) </t>
    </r>
  </si>
  <si>
    <r>
      <t>= 1/</t>
    </r>
    <r>
      <rPr>
        <sz val="10"/>
        <rFont val="Symbol"/>
        <family val="1"/>
      </rPr>
      <t>w</t>
    </r>
    <r>
      <rPr>
        <sz val="10"/>
        <rFont val="Arial"/>
        <family val="0"/>
      </rPr>
      <t>Mag(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) </t>
    </r>
  </si>
  <si>
    <r>
      <t>= M</t>
    </r>
    <r>
      <rPr>
        <sz val="10"/>
        <rFont val="Symbol"/>
        <family val="1"/>
      </rPr>
      <t>w</t>
    </r>
    <r>
      <rPr>
        <sz val="10"/>
        <rFont val="Arial"/>
        <family val="0"/>
      </rPr>
      <t>/Mag(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</t>
    </r>
  </si>
  <si>
    <r>
      <t>= M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/Mag(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</t>
    </r>
  </si>
  <si>
    <t>GEL .01-20 Hz Rev.7</t>
  </si>
  <si>
    <r>
      <t>= 1/K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/ (1-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j 2</t>
    </r>
    <r>
      <rPr>
        <sz val="10"/>
        <rFont val="Symbol"/>
        <family val="1"/>
      </rPr>
      <t>w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z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)</t>
    </r>
  </si>
  <si>
    <r>
      <t>= Mag(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</si>
  <si>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</si>
  <si>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</si>
  <si>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</si>
  <si>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= Mag(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</si>
  <si>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=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)(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</si>
  <si>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= Mag(</t>
    </r>
    <r>
      <rPr>
        <b/>
        <i/>
        <sz val="10"/>
        <rFont val="Arial"/>
        <family val="2"/>
      </rPr>
      <t>Z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</si>
  <si>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AA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</si>
  <si>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AA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</si>
  <si>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AA</t>
    </r>
    <r>
      <rPr>
        <sz val="10"/>
        <rFont val="Arial"/>
        <family val="0"/>
      </rPr>
      <t>)</t>
    </r>
  </si>
  <si>
    <r>
      <t>=(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)(</t>
    </r>
    <r>
      <rPr>
        <b/>
        <i/>
        <sz val="10"/>
        <rFont val="Arial"/>
        <family val="2"/>
      </rPr>
      <t>Z</t>
    </r>
    <r>
      <rPr>
        <sz val="10"/>
        <rFont val="Arial"/>
        <family val="0"/>
      </rPr>
      <t>)</t>
    </r>
  </si>
  <si>
    <r>
      <t>= Mag(</t>
    </r>
    <r>
      <rPr>
        <b/>
        <i/>
        <sz val="10"/>
        <rFont val="Arial"/>
        <family val="2"/>
      </rPr>
      <t>AE</t>
    </r>
    <r>
      <rPr>
        <sz val="10"/>
        <rFont val="Arial"/>
        <family val="0"/>
      </rPr>
      <t>)</t>
    </r>
  </si>
  <si>
    <r>
      <t>= |</t>
    </r>
    <r>
      <rPr>
        <b/>
        <i/>
        <sz val="10"/>
        <rFont val="Arial"/>
        <family val="2"/>
      </rPr>
      <t>AF</t>
    </r>
    <r>
      <rPr>
        <sz val="10"/>
        <rFont val="Arial"/>
        <family val="0"/>
      </rPr>
      <t>-1|</t>
    </r>
  </si>
  <si>
    <r>
      <t>= Arg(</t>
    </r>
    <r>
      <rPr>
        <b/>
        <i/>
        <sz val="10"/>
        <rFont val="Arial"/>
        <family val="2"/>
      </rPr>
      <t>AE</t>
    </r>
    <r>
      <rPr>
        <sz val="10"/>
        <rFont val="Arial"/>
        <family val="0"/>
      </rPr>
      <t>)</t>
    </r>
  </si>
  <si>
    <r>
      <t>= (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>)/(1+(</t>
    </r>
    <r>
      <rPr>
        <b/>
        <i/>
        <sz val="10"/>
        <rFont val="Arial"/>
        <family val="2"/>
      </rPr>
      <t>Z</t>
    </r>
    <r>
      <rPr>
        <sz val="10"/>
        <rFont val="Arial"/>
        <family val="0"/>
      </rPr>
      <t>)(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))</t>
    </r>
  </si>
  <si>
    <r>
      <t>= Mag(</t>
    </r>
    <r>
      <rPr>
        <b/>
        <i/>
        <sz val="10"/>
        <rFont val="Arial"/>
        <family val="2"/>
      </rPr>
      <t>AI</t>
    </r>
    <r>
      <rPr>
        <sz val="10"/>
        <rFont val="Arial"/>
        <family val="0"/>
      </rPr>
      <t>)</t>
    </r>
  </si>
  <si>
    <r>
      <t>= Arg(</t>
    </r>
    <r>
      <rPr>
        <b/>
        <i/>
        <sz val="10"/>
        <rFont val="Arial"/>
        <family val="2"/>
      </rPr>
      <t>AI</t>
    </r>
    <r>
      <rPr>
        <sz val="10"/>
        <rFont val="Arial"/>
        <family val="0"/>
      </rPr>
      <t>)</t>
    </r>
  </si>
  <si>
    <r>
      <t>= (</t>
    </r>
    <r>
      <rPr>
        <b/>
        <i/>
        <sz val="10"/>
        <rFont val="Arial"/>
        <family val="2"/>
      </rPr>
      <t>AJ</t>
    </r>
    <r>
      <rPr>
        <sz val="10"/>
        <rFont val="Arial"/>
        <family val="0"/>
      </rPr>
      <t>)/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</si>
  <si>
    <r>
      <t>= (</t>
    </r>
    <r>
      <rPr>
        <b/>
        <i/>
        <sz val="10"/>
        <rFont val="Arial"/>
        <family val="2"/>
      </rPr>
      <t>AJ</t>
    </r>
    <r>
      <rPr>
        <sz val="10"/>
        <rFont val="Arial"/>
        <family val="0"/>
      </rPr>
      <t>)M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</si>
  <si>
    <r>
      <t>= (</t>
    </r>
    <r>
      <rPr>
        <b/>
        <i/>
        <sz val="10"/>
        <rFont val="Arial"/>
        <family val="2"/>
      </rPr>
      <t>AI</t>
    </r>
    <r>
      <rPr>
        <sz val="10"/>
        <rFont val="Arial"/>
        <family val="0"/>
      </rPr>
      <t xml:space="preserve">) j 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</si>
  <si>
    <r>
      <t>= Mag(</t>
    </r>
    <r>
      <rPr>
        <b/>
        <i/>
        <sz val="10"/>
        <rFont val="Arial"/>
        <family val="2"/>
      </rPr>
      <t>AN</t>
    </r>
    <r>
      <rPr>
        <sz val="10"/>
        <rFont val="Arial"/>
        <family val="0"/>
      </rPr>
      <t>)</t>
    </r>
  </si>
  <si>
    <r>
      <t>= 180/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Arg(</t>
    </r>
    <r>
      <rPr>
        <b/>
        <i/>
        <sz val="10"/>
        <rFont val="Arial"/>
        <family val="2"/>
      </rPr>
      <t>AE</t>
    </r>
    <r>
      <rPr>
        <sz val="10"/>
        <rFont val="Arial"/>
        <family val="0"/>
      </rPr>
      <t>)</t>
    </r>
  </si>
  <si>
    <r>
      <t>= (</t>
    </r>
    <r>
      <rPr>
        <b/>
        <i/>
        <sz val="10"/>
        <rFont val="Arial"/>
        <family val="2"/>
      </rPr>
      <t>AJ</t>
    </r>
    <r>
      <rPr>
        <sz val="10"/>
        <rFont val="Arial"/>
        <family val="0"/>
      </rPr>
      <t>)M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</si>
  <si>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= (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>)(</t>
    </r>
    <r>
      <rPr>
        <b/>
        <i/>
        <sz val="10"/>
        <rFont val="Arial"/>
        <family val="2"/>
      </rPr>
      <t>AF</t>
    </r>
    <r>
      <rPr>
        <sz val="10"/>
        <rFont val="Arial"/>
        <family val="0"/>
      </rPr>
      <t>+1)</t>
    </r>
  </si>
  <si>
    <r>
      <t>=</t>
    </r>
    <r>
      <rPr>
        <sz val="10"/>
        <rFont val="Symbol"/>
        <family val="1"/>
      </rPr>
      <t>w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0"/>
      </rPr>
      <t>/</t>
    </r>
  </si>
  <si>
    <r>
      <t>=(Use Inverse=True) (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+j</t>
    </r>
    <r>
      <rPr>
        <sz val="10"/>
        <rFont val="Symbol"/>
        <family val="1"/>
      </rPr>
      <t>w</t>
    </r>
    <r>
      <rPr>
        <sz val="10"/>
        <rFont val="Arial"/>
        <family val="0"/>
      </rPr>
      <t>)/(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+j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</si>
  <si>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r>
      <t>=Mag(</t>
    </r>
    <r>
      <rPr>
        <b/>
        <i/>
        <sz val="10"/>
        <rFont val="Arial"/>
        <family val="2"/>
      </rPr>
      <t>AX</t>
    </r>
    <r>
      <rPr>
        <sz val="10"/>
        <rFont val="Arial"/>
        <family val="0"/>
      </rPr>
      <t>)</t>
    </r>
  </si>
  <si>
    <r>
      <t>= 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/ (1 + j</t>
    </r>
    <r>
      <rPr>
        <sz val="10"/>
        <rFont val="Symbol"/>
        <family val="1"/>
      </rPr>
      <t>w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)·(</t>
    </r>
    <r>
      <rPr>
        <b/>
        <i/>
        <sz val="10"/>
        <rFont val="Arial"/>
        <family val="2"/>
      </rPr>
      <t>AX)</t>
    </r>
    <r>
      <rPr>
        <sz val="10"/>
        <rFont val="Arial"/>
        <family val="0"/>
      </rPr>
      <t>·Bessel(j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</si>
  <si>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r>
      <t>V /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</si>
  <si>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= M/</t>
    </r>
    <r>
      <rPr>
        <sz val="10"/>
        <rFont val="Arial"/>
        <family val="0"/>
      </rPr>
      <t>Mag(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) </t>
    </r>
  </si>
  <si>
    <r>
      <t>w</t>
    </r>
    <r>
      <rPr>
        <vertAlign val="subscript"/>
        <sz val="12"/>
        <rFont val="Arial"/>
        <family val="0"/>
      </rPr>
      <t>L</t>
    </r>
    <r>
      <rPr>
        <sz val="12"/>
        <rFont val="Arial"/>
        <family val="0"/>
      </rPr>
      <t xml:space="preserve"> = </t>
    </r>
  </si>
  <si>
    <r>
      <t>F</t>
    </r>
    <r>
      <rPr>
        <vertAlign val="subscript"/>
        <sz val="12"/>
        <rFont val="Arial"/>
        <family val="0"/>
      </rPr>
      <t>L</t>
    </r>
    <r>
      <rPr>
        <sz val="12"/>
        <rFont val="Arial"/>
        <family val="0"/>
      </rPr>
      <t xml:space="preserve"> =</t>
    </r>
  </si>
  <si>
    <r>
      <t>T</t>
    </r>
    <r>
      <rPr>
        <vertAlign val="subscript"/>
        <sz val="12"/>
        <rFont val="Arial"/>
        <family val="0"/>
      </rPr>
      <t>L</t>
    </r>
    <r>
      <rPr>
        <sz val="12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</si>
  <si>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 xml:space="preserve">IL </t>
    </r>
    <r>
      <rPr>
        <sz val="10"/>
        <rFont val="Arial"/>
        <family val="0"/>
      </rPr>
      <t>=</t>
    </r>
  </si>
  <si>
    <r>
      <t>w</t>
    </r>
    <r>
      <rPr>
        <vertAlign val="subscript"/>
        <sz val="10"/>
        <rFont val="Arial"/>
        <family val="2"/>
      </rPr>
      <t xml:space="preserve">IH </t>
    </r>
    <r>
      <rPr>
        <sz val="10"/>
        <rFont val="Arial"/>
        <family val="2"/>
      </rPr>
      <t>=</t>
    </r>
  </si>
  <si>
    <t>Inverse Filter - low zero</t>
  </si>
  <si>
    <t>Inverse Filter - high pole</t>
  </si>
  <si>
    <r>
      <t>F</t>
    </r>
    <r>
      <rPr>
        <vertAlign val="subscript"/>
        <sz val="10"/>
        <rFont val="Arial"/>
        <family val="2"/>
      </rPr>
      <t>IH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</si>
  <si>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IL</t>
    </r>
    <r>
      <rPr>
        <sz val="10"/>
        <rFont val="Arial"/>
        <family val="0"/>
      </rPr>
      <t xml:space="preserve"> =</t>
    </r>
  </si>
  <si>
    <t xml:space="preserve">      Mid Band Acceleration Response</t>
  </si>
  <si>
    <r>
      <t>V/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</si>
  <si>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T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</si>
  <si>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</si>
  <si>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</t>
    </r>
  </si>
  <si>
    <t>Si Audio Labs</t>
  </si>
  <si>
    <t>Gain-Crossover frequency</t>
  </si>
  <si>
    <t>Low frequency acceleration   response rolloff</t>
  </si>
  <si>
    <t>High frequency resp. rolloff</t>
  </si>
  <si>
    <r>
      <t>F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</si>
  <si>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2"/>
        <rFont val="Arial"/>
        <family val="2"/>
      </rPr>
      <t>gc</t>
    </r>
    <r>
      <rPr>
        <sz val="12"/>
        <rFont val="Arial"/>
        <family val="2"/>
      </rPr>
      <t xml:space="preserve"> = </t>
    </r>
  </si>
  <si>
    <r>
      <t>These are the parameters which do not affect 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or 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.</t>
    </r>
  </si>
  <si>
    <t>m/ g</t>
  </si>
  <si>
    <t>g's / 300nm</t>
  </si>
  <si>
    <t>Clipping level</t>
  </si>
  <si>
    <t>Freq. Ratio ≈ DC Gain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</si>
</sst>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E+00"/>
    <numFmt numFmtId="169" formatCode="00000"/>
    <numFmt numFmtId="170" formatCode="0.0"/>
    <numFmt numFmtId="171" formatCode="0.000E+00"/>
    <numFmt numFmtId="172" formatCode="0.0000"/>
    <numFmt numFmtId="173" formatCode="0.000"/>
    <numFmt numFmtId="174" formatCode="#,##0.0"/>
    <numFmt numFmtId="175" formatCode="0.00000"/>
    <numFmt numFmtId="176" formatCode="0.000000"/>
    <numFmt numFmtId="177" formatCode="0.0000000"/>
    <numFmt numFmtId="178" formatCode="0.000000E+00"/>
    <numFmt numFmtId="179" formatCode="0.E+00"/>
    <numFmt numFmtId="180" formatCode="0.0E+00"/>
    <numFmt numFmtId="181" formatCode="0.000000000"/>
    <numFmt numFmtId="182" formatCode="0.00000E+00"/>
    <numFmt numFmtId="183" formatCode="&quot;$&quot;#,##0.000000000"/>
    <numFmt numFmtId="184" formatCode="#,##0.000000000"/>
    <numFmt numFmtId="185" formatCode="0.00000000"/>
    <numFmt numFmtId="186" formatCode="#,##0.000"/>
    <numFmt numFmtId="187" formatCode="&quot;$&quot;#,##0.00"/>
    <numFmt numFmtId="188" formatCode="0.0000000000"/>
    <numFmt numFmtId="189" formatCode="#,##0.0000"/>
    <numFmt numFmtId="190" formatCode="0.000%"/>
    <numFmt numFmtId="191" formatCode="0.0000%"/>
    <numFmt numFmtId="192" formatCode="#,##0.00000"/>
    <numFmt numFmtId="193" formatCode="[$-409]dddd\,\ mmmm\ dd\,\ yyyy"/>
    <numFmt numFmtId="194" formatCode="[$-409]h:mm:ss\ AM/PM"/>
    <numFmt numFmtId="195" formatCode="d\-mmm\-yy\ h:mm\ AM/PM"/>
  </numFmts>
  <fonts count="7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4"/>
      <name val="Symbol"/>
      <family val="1"/>
    </font>
    <font>
      <b/>
      <sz val="12"/>
      <name val="Symbol"/>
      <family val="1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sz val="16"/>
      <name val="Symbol"/>
      <family val="1"/>
    </font>
    <font>
      <vertAlign val="subscript"/>
      <sz val="10"/>
      <name val="Times New Roman"/>
      <family val="1"/>
    </font>
    <font>
      <sz val="14"/>
      <name val="Symbol"/>
      <family val="1"/>
    </font>
    <font>
      <vertAlign val="superscript"/>
      <sz val="10"/>
      <name val="Arial"/>
      <family val="2"/>
    </font>
    <font>
      <sz val="12"/>
      <name val="Symbol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sz val="3.5"/>
      <name val="Arial"/>
      <family val="0"/>
    </font>
    <font>
      <sz val="1.25"/>
      <name val="Arial"/>
      <family val="0"/>
    </font>
    <font>
      <b/>
      <sz val="1.25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b/>
      <sz val="8"/>
      <color indexed="39"/>
      <name val="Arial"/>
      <family val="2"/>
    </font>
    <font>
      <b/>
      <sz val="8"/>
      <color indexed="10"/>
      <name val="Arial"/>
      <family val="2"/>
    </font>
    <font>
      <b/>
      <sz val="8"/>
      <color indexed="33"/>
      <name val="Arial"/>
      <family val="2"/>
    </font>
    <font>
      <sz val="27.75"/>
      <name val="Arial"/>
      <family val="0"/>
    </font>
    <font>
      <sz val="32.2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25.5"/>
      <name val="Arial"/>
      <family val="0"/>
    </font>
    <font>
      <sz val="9"/>
      <name val="Arial"/>
      <family val="0"/>
    </font>
    <font>
      <sz val="31.25"/>
      <name val="Arial"/>
      <family val="0"/>
    </font>
    <font>
      <sz val="11"/>
      <name val="Arial"/>
      <family val="0"/>
    </font>
    <font>
      <sz val="22.5"/>
      <name val="Arial"/>
      <family val="0"/>
    </font>
    <font>
      <sz val="8"/>
      <name val="Arial"/>
      <family val="0"/>
    </font>
    <font>
      <sz val="25.25"/>
      <name val="Arial"/>
      <family val="0"/>
    </font>
    <font>
      <sz val="27.5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28.75"/>
      <name val="Arial"/>
      <family val="0"/>
    </font>
    <font>
      <b/>
      <sz val="11.25"/>
      <name val="Arial"/>
      <family val="0"/>
    </font>
    <font>
      <vertAlign val="subscript"/>
      <sz val="12"/>
      <name val="Arial"/>
      <family val="2"/>
    </font>
    <font>
      <sz val="14"/>
      <name val="Arial"/>
      <family val="2"/>
    </font>
    <font>
      <sz val="19.25"/>
      <name val="Arial"/>
      <family val="0"/>
    </font>
    <font>
      <sz val="16.25"/>
      <name val="Arial"/>
      <family val="0"/>
    </font>
    <font>
      <b/>
      <sz val="16.25"/>
      <name val="Arial"/>
      <family val="0"/>
    </font>
    <font>
      <b/>
      <sz val="20.25"/>
      <name val="Arial"/>
      <family val="0"/>
    </font>
    <font>
      <sz val="23.75"/>
      <name val="Arial"/>
      <family val="0"/>
    </font>
    <font>
      <vertAlign val="superscript"/>
      <sz val="12"/>
      <name val="Arial"/>
      <family val="0"/>
    </font>
    <font>
      <b/>
      <vertAlign val="superscript"/>
      <sz val="12"/>
      <name val="Arial"/>
      <family val="2"/>
    </font>
    <font>
      <sz val="22.75"/>
      <name val="Arial"/>
      <family val="0"/>
    </font>
    <font>
      <sz val="20"/>
      <name val="Arial"/>
      <family val="0"/>
    </font>
    <font>
      <b/>
      <sz val="8"/>
      <name val="Arial"/>
      <family val="2"/>
    </font>
    <font>
      <sz val="32.5"/>
      <name val="Arial"/>
      <family val="0"/>
    </font>
    <font>
      <b/>
      <i/>
      <sz val="12"/>
      <name val="Arial"/>
      <family val="2"/>
    </font>
    <font>
      <b/>
      <sz val="8"/>
      <color indexed="53"/>
      <name val="Arial"/>
      <family val="2"/>
    </font>
    <font>
      <b/>
      <sz val="8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Symbol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u val="single"/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color indexed="17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gray0625">
        <bgColor indexed="26"/>
      </patternFill>
    </fill>
  </fills>
  <borders count="8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Dashed">
        <color indexed="10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 style="mediumDashed">
        <color indexed="10"/>
      </right>
      <top style="medium"/>
      <bottom style="thin">
        <color indexed="22"/>
      </bottom>
    </border>
    <border>
      <left style="medium"/>
      <right style="mediumDashed">
        <color indexed="10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Dashed">
        <color indexed="10"/>
      </right>
      <top style="medium"/>
      <bottom style="thin">
        <color indexed="55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Dashed">
        <color indexed="10"/>
      </right>
      <top style="thin">
        <color indexed="55"/>
      </top>
      <bottom style="medium"/>
    </border>
    <border>
      <left>
        <color indexed="63"/>
      </left>
      <right style="mediumDashed">
        <color indexed="10"/>
      </right>
      <top style="medium"/>
      <bottom style="medium"/>
    </border>
    <border>
      <left>
        <color indexed="63"/>
      </left>
      <right style="medium"/>
      <top style="medium"/>
      <bottom style="mediumDashed">
        <color indexed="10"/>
      </bottom>
    </border>
    <border>
      <left style="medium"/>
      <right style="mediumDashed">
        <color indexed="10"/>
      </right>
      <top style="medium"/>
      <bottom style="mediumDashed">
        <color indexed="10"/>
      </bottom>
    </border>
    <border>
      <left>
        <color indexed="63"/>
      </left>
      <right style="mediumDashed">
        <color indexed="10"/>
      </right>
      <top style="medium"/>
      <bottom>
        <color indexed="63"/>
      </bottom>
    </border>
    <border>
      <left style="thin">
        <color indexed="22"/>
      </left>
      <right style="mediumDashed">
        <color indexed="10"/>
      </right>
      <top style="medium"/>
      <bottom style="thin">
        <color indexed="22"/>
      </bottom>
    </border>
    <border>
      <left style="thin">
        <color indexed="22"/>
      </left>
      <right style="mediumDashed">
        <color indexed="10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Dashed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22"/>
      </bottom>
    </border>
    <border>
      <left style="medium">
        <color indexed="10"/>
      </left>
      <right style="medium">
        <color indexed="10"/>
      </right>
      <top style="thin">
        <color indexed="22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 style="medium"/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"/>
    </border>
    <border>
      <left style="mediumDashed">
        <color indexed="10"/>
      </left>
      <right>
        <color indexed="63"/>
      </right>
      <top style="medium"/>
      <bottom style="thin">
        <color indexed="22"/>
      </bottom>
    </border>
    <border>
      <left style="mediumDashed">
        <color indexed="10"/>
      </left>
      <right>
        <color indexed="63"/>
      </right>
      <top style="thin">
        <color indexed="22"/>
      </top>
      <bottom style="medium"/>
    </border>
    <border>
      <left style="mediumDashed">
        <color indexed="10"/>
      </left>
      <right>
        <color indexed="63"/>
      </right>
      <top style="medium"/>
      <bottom style="mediumDashed">
        <color indexed="10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Dashed">
        <color indexed="10"/>
      </left>
      <right>
        <color indexed="63"/>
      </right>
      <top style="medium"/>
      <bottom style="medium"/>
    </border>
    <border>
      <left style="medium"/>
      <right style="mediumDashed">
        <color indexed="10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Dashed">
        <color indexed="10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Dashed">
        <color indexed="10"/>
      </right>
      <top>
        <color indexed="63"/>
      </top>
      <bottom>
        <color indexed="63"/>
      </bottom>
    </border>
    <border>
      <left style="medium"/>
      <right style="mediumDashed">
        <color indexed="10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Dashed">
        <color indexed="1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mediumDashed">
        <color indexed="10"/>
      </right>
      <top style="mediumDashed">
        <color indexed="10"/>
      </top>
      <bottom style="medium"/>
    </border>
    <border>
      <left style="medium"/>
      <right style="thin">
        <color indexed="22"/>
      </right>
      <top style="thin"/>
      <bottom>
        <color indexed="63"/>
      </bottom>
    </border>
    <border>
      <left style="mediumDashed">
        <color indexed="10"/>
      </left>
      <right>
        <color indexed="63"/>
      </right>
      <top style="mediumDashed">
        <color indexed="10"/>
      </top>
      <bottom style="medium"/>
    </border>
    <border>
      <left>
        <color indexed="63"/>
      </left>
      <right>
        <color indexed="63"/>
      </right>
      <top style="mediumDashed">
        <color indexed="10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69" fontId="0" fillId="0" borderId="4" xfId="0" applyNumberFormat="1" applyBorder="1" applyAlignment="1" applyProtection="1">
      <alignment/>
      <protection hidden="1"/>
    </xf>
    <xf numFmtId="170" fontId="0" fillId="0" borderId="1" xfId="0" applyNumberFormat="1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175" fontId="0" fillId="0" borderId="0" xfId="0" applyNumberFormat="1" applyAlignment="1">
      <alignment/>
    </xf>
    <xf numFmtId="0" fontId="0" fillId="0" borderId="5" xfId="0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5" xfId="0" applyBorder="1" applyAlignment="1" quotePrefix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171" fontId="0" fillId="3" borderId="0" xfId="0" applyNumberFormat="1" applyFill="1" applyAlignment="1">
      <alignment/>
    </xf>
    <xf numFmtId="11" fontId="0" fillId="3" borderId="1" xfId="0" applyNumberFormat="1" applyFill="1" applyBorder="1" applyAlignment="1">
      <alignment/>
    </xf>
    <xf numFmtId="170" fontId="0" fillId="3" borderId="1" xfId="0" applyNumberFormat="1" applyFill="1" applyBorder="1" applyAlignment="1">
      <alignment/>
    </xf>
    <xf numFmtId="171" fontId="0" fillId="0" borderId="2" xfId="0" applyNumberFormat="1" applyBorder="1" applyAlignment="1">
      <alignment/>
    </xf>
    <xf numFmtId="11" fontId="0" fillId="0" borderId="3" xfId="0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15" fillId="0" borderId="0" xfId="0" applyFont="1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0" fillId="0" borderId="5" xfId="0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3" fillId="0" borderId="0" xfId="0" applyFont="1" applyAlignment="1" quotePrefix="1">
      <alignment horizontal="center"/>
    </xf>
    <xf numFmtId="0" fontId="0" fillId="0" borderId="0" xfId="0" applyAlignment="1" quotePrefix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 quotePrefix="1">
      <alignment horizontal="center" vertical="center"/>
    </xf>
    <xf numFmtId="0" fontId="0" fillId="0" borderId="2" xfId="0" applyBorder="1" applyAlignment="1" quotePrefix="1">
      <alignment horizontal="left"/>
    </xf>
    <xf numFmtId="0" fontId="15" fillId="0" borderId="2" xfId="0" applyFont="1" applyBorder="1" applyAlignment="1" quotePrefix="1">
      <alignment horizontal="center" vertical="center"/>
    </xf>
    <xf numFmtId="0" fontId="0" fillId="0" borderId="2" xfId="0" applyBorder="1" applyAlignment="1" quotePrefix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 quotePrefix="1">
      <alignment horizontal="left" vertical="center" wrapText="1"/>
    </xf>
    <xf numFmtId="0" fontId="15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1" fontId="3" fillId="0" borderId="0" xfId="0" applyNumberFormat="1" applyFont="1" applyAlignment="1">
      <alignment horizontal="center"/>
    </xf>
    <xf numFmtId="0" fontId="15" fillId="0" borderId="0" xfId="0" applyFont="1" applyAlignment="1" quotePrefix="1">
      <alignment horizontal="left"/>
    </xf>
    <xf numFmtId="173" fontId="15" fillId="0" borderId="0" xfId="0" applyNumberFormat="1" applyFont="1" applyFill="1" applyAlignment="1">
      <alignment/>
    </xf>
    <xf numFmtId="175" fontId="15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173" fontId="15" fillId="2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5" fillId="0" borderId="0" xfId="0" applyFont="1" applyAlignment="1" quotePrefix="1">
      <alignment vertical="center" wrapText="1"/>
    </xf>
    <xf numFmtId="0" fontId="15" fillId="0" borderId="0" xfId="0" applyFont="1" applyAlignment="1">
      <alignment horizontal="center" vertical="center" wrapText="1"/>
    </xf>
    <xf numFmtId="175" fontId="3" fillId="0" borderId="4" xfId="0" applyNumberFormat="1" applyFont="1" applyBorder="1" applyAlignment="1" applyProtection="1" quotePrefix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/>
      <protection/>
    </xf>
    <xf numFmtId="175" fontId="3" fillId="0" borderId="4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175" fontId="0" fillId="0" borderId="4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1" fontId="0" fillId="0" borderId="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5" fontId="0" fillId="0" borderId="4" xfId="0" applyNumberFormat="1" applyBorder="1" applyAlignment="1" applyProtection="1">
      <alignment/>
      <protection/>
    </xf>
    <xf numFmtId="168" fontId="0" fillId="0" borderId="1" xfId="0" applyNumberFormat="1" applyBorder="1" applyAlignment="1" applyProtection="1">
      <alignment/>
      <protection/>
    </xf>
    <xf numFmtId="171" fontId="0" fillId="0" borderId="1" xfId="0" applyNumberFormat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182" fontId="0" fillId="0" borderId="4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2" fontId="0" fillId="0" borderId="0" xfId="0" applyNumberFormat="1" applyBorder="1" applyAlignment="1" applyProtection="1" quotePrefix="1">
      <alignment horizontal="left" vertical="center"/>
      <protection/>
    </xf>
    <xf numFmtId="173" fontId="0" fillId="2" borderId="2" xfId="0" applyNumberFormat="1" applyFill="1" applyBorder="1" applyAlignment="1" applyProtection="1">
      <alignment/>
      <protection/>
    </xf>
    <xf numFmtId="172" fontId="0" fillId="0" borderId="4" xfId="0" applyNumberFormat="1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4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1" fontId="0" fillId="0" borderId="0" xfId="0" applyNumberFormat="1" applyBorder="1" applyAlignment="1" applyProtection="1">
      <alignment/>
      <protection/>
    </xf>
    <xf numFmtId="170" fontId="0" fillId="0" borderId="1" xfId="0" applyNumberFormat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172" fontId="0" fillId="0" borderId="6" xfId="0" applyNumberFormat="1" applyBorder="1" applyAlignment="1" applyProtection="1">
      <alignment/>
      <protection/>
    </xf>
    <xf numFmtId="172" fontId="0" fillId="0" borderId="2" xfId="0" applyNumberFormat="1" applyBorder="1" applyAlignment="1" applyProtection="1">
      <alignment/>
      <protection/>
    </xf>
    <xf numFmtId="172" fontId="0" fillId="0" borderId="3" xfId="0" applyNumberFormat="1" applyBorder="1" applyAlignment="1" applyProtection="1">
      <alignment/>
      <protection/>
    </xf>
    <xf numFmtId="171" fontId="0" fillId="0" borderId="5" xfId="0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168" fontId="0" fillId="0" borderId="11" xfId="0" applyNumberFormat="1" applyBorder="1" applyAlignment="1" applyProtection="1">
      <alignment/>
      <protection/>
    </xf>
    <xf numFmtId="11" fontId="0" fillId="0" borderId="7" xfId="0" applyNumberFormat="1" applyBorder="1" applyAlignment="1" applyProtection="1">
      <alignment/>
      <protection/>
    </xf>
    <xf numFmtId="174" fontId="0" fillId="0" borderId="5" xfId="0" applyNumberFormat="1" applyBorder="1" applyAlignment="1" applyProtection="1">
      <alignment/>
      <protection/>
    </xf>
    <xf numFmtId="11" fontId="0" fillId="0" borderId="5" xfId="0" applyNumberFormat="1" applyBorder="1" applyAlignment="1" applyProtection="1">
      <alignment/>
      <protection/>
    </xf>
    <xf numFmtId="170" fontId="0" fillId="0" borderId="7" xfId="0" applyNumberFormat="1" applyBorder="1" applyAlignment="1" applyProtection="1">
      <alignment/>
      <protection/>
    </xf>
    <xf numFmtId="171" fontId="0" fillId="0" borderId="11" xfId="0" applyNumberFormat="1" applyBorder="1" applyAlignment="1" applyProtection="1">
      <alignment/>
      <protection/>
    </xf>
    <xf numFmtId="170" fontId="0" fillId="0" borderId="5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182" fontId="0" fillId="0" borderId="11" xfId="0" applyNumberForma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71" fontId="0" fillId="0" borderId="2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/>
      <protection/>
    </xf>
    <xf numFmtId="11" fontId="0" fillId="0" borderId="3" xfId="0" applyNumberFormat="1" applyBorder="1" applyAlignment="1" applyProtection="1">
      <alignment/>
      <protection/>
    </xf>
    <xf numFmtId="174" fontId="0" fillId="0" borderId="2" xfId="0" applyNumberFormat="1" applyBorder="1" applyAlignment="1" applyProtection="1">
      <alignment/>
      <protection/>
    </xf>
    <xf numFmtId="11" fontId="0" fillId="0" borderId="2" xfId="0" applyNumberFormat="1" applyBorder="1" applyAlignment="1" applyProtection="1">
      <alignment/>
      <protection/>
    </xf>
    <xf numFmtId="170" fontId="0" fillId="0" borderId="3" xfId="0" applyNumberFormat="1" applyBorder="1" applyAlignment="1" applyProtection="1">
      <alignment/>
      <protection/>
    </xf>
    <xf numFmtId="170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182" fontId="0" fillId="0" borderId="6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4" xfId="0" applyNumberForma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4" fontId="0" fillId="0" borderId="1" xfId="0" applyNumberFormat="1" applyBorder="1" applyAlignment="1" applyProtection="1">
      <alignment/>
      <protection/>
    </xf>
    <xf numFmtId="0" fontId="0" fillId="0" borderId="4" xfId="0" applyBorder="1" applyAlignment="1">
      <alignment horizontal="right"/>
    </xf>
    <xf numFmtId="168" fontId="0" fillId="2" borderId="0" xfId="0" applyNumberFormat="1" applyFill="1" applyBorder="1" applyAlignment="1" applyProtection="1">
      <alignment/>
      <protection/>
    </xf>
    <xf numFmtId="171" fontId="0" fillId="2" borderId="0" xfId="0" applyNumberFormat="1" applyFill="1" applyBorder="1" applyAlignment="1" applyProtection="1">
      <alignment/>
      <protection/>
    </xf>
    <xf numFmtId="168" fontId="0" fillId="2" borderId="2" xfId="0" applyNumberFormat="1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71" fontId="0" fillId="0" borderId="7" xfId="0" applyNumberFormat="1" applyBorder="1" applyAlignment="1" applyProtection="1">
      <alignment/>
      <protection/>
    </xf>
    <xf numFmtId="171" fontId="0" fillId="0" borderId="1" xfId="0" applyNumberFormat="1" applyBorder="1" applyAlignment="1" applyProtection="1">
      <alignment/>
      <protection/>
    </xf>
    <xf numFmtId="171" fontId="0" fillId="0" borderId="3" xfId="0" applyNumberFormat="1" applyBorder="1" applyAlignment="1" applyProtection="1">
      <alignment/>
      <protection/>
    </xf>
    <xf numFmtId="172" fontId="0" fillId="0" borderId="11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2" xfId="0" applyFont="1" applyBorder="1" applyAlignment="1" quotePrefix="1">
      <alignment horizontal="center"/>
    </xf>
    <xf numFmtId="15" fontId="15" fillId="0" borderId="0" xfId="0" applyNumberFormat="1" applyFont="1" applyBorder="1" applyAlignment="1">
      <alignment horizontal="left"/>
    </xf>
    <xf numFmtId="0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175" fontId="0" fillId="0" borderId="1" xfId="0" applyNumberFormat="1" applyFill="1" applyBorder="1" applyAlignment="1" applyProtection="1">
      <alignment/>
      <protection/>
    </xf>
    <xf numFmtId="0" fontId="0" fillId="0" borderId="4" xfId="0" applyFont="1" applyBorder="1" applyAlignment="1" applyProtection="1" quotePrefix="1">
      <alignment horizontal="right"/>
      <protection/>
    </xf>
    <xf numFmtId="0" fontId="1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4" xfId="0" applyFon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9" fillId="0" borderId="4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 applyProtection="1">
      <alignment/>
      <protection/>
    </xf>
    <xf numFmtId="0" fontId="0" fillId="0" borderId="0" xfId="0" applyAlignment="1">
      <alignment/>
    </xf>
    <xf numFmtId="182" fontId="0" fillId="0" borderId="4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right"/>
      <protection/>
    </xf>
    <xf numFmtId="0" fontId="15" fillId="0" borderId="4" xfId="0" applyFont="1" applyFill="1" applyBorder="1" applyAlignment="1" applyProtection="1" quotePrefix="1">
      <alignment horizontal="right"/>
      <protection/>
    </xf>
    <xf numFmtId="0" fontId="13" fillId="0" borderId="4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11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173" fontId="0" fillId="2" borderId="19" xfId="0" applyNumberFormat="1" applyFill="1" applyBorder="1" applyAlignment="1" applyProtection="1">
      <alignment horizontal="left"/>
      <protection/>
    </xf>
    <xf numFmtId="172" fontId="0" fillId="2" borderId="20" xfId="0" applyNumberFormat="1" applyFill="1" applyBorder="1" applyAlignment="1" applyProtection="1">
      <alignment horizontal="left"/>
      <protection/>
    </xf>
    <xf numFmtId="173" fontId="0" fillId="2" borderId="21" xfId="0" applyNumberFormat="1" applyFill="1" applyBorder="1" applyAlignment="1" applyProtection="1">
      <alignment horizontal="left"/>
      <protection/>
    </xf>
    <xf numFmtId="173" fontId="0" fillId="2" borderId="22" xfId="0" applyNumberFormat="1" applyFill="1" applyBorder="1" applyAlignment="1" applyProtection="1">
      <alignment horizontal="left"/>
      <protection/>
    </xf>
    <xf numFmtId="175" fontId="0" fillId="2" borderId="23" xfId="0" applyNumberFormat="1" applyFill="1" applyBorder="1" applyAlignment="1" applyProtection="1">
      <alignment horizontal="left"/>
      <protection/>
    </xf>
    <xf numFmtId="175" fontId="0" fillId="2" borderId="22" xfId="0" applyNumberFormat="1" applyFill="1" applyBorder="1" applyAlignment="1" applyProtection="1">
      <alignment horizontal="left"/>
      <protection/>
    </xf>
    <xf numFmtId="173" fontId="0" fillId="4" borderId="20" xfId="0" applyNumberFormat="1" applyFill="1" applyBorder="1" applyAlignment="1">
      <alignment horizontal="left"/>
    </xf>
    <xf numFmtId="172" fontId="0" fillId="2" borderId="21" xfId="0" applyNumberForma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15" fontId="15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/>
    </xf>
    <xf numFmtId="175" fontId="0" fillId="2" borderId="24" xfId="0" applyNumberFormat="1" applyFill="1" applyBorder="1" applyAlignment="1" applyProtection="1">
      <alignment horizontal="left" vertical="center"/>
      <protection/>
    </xf>
    <xf numFmtId="173" fontId="0" fillId="0" borderId="25" xfId="0" applyNumberFormat="1" applyBorder="1" applyAlignment="1" applyProtection="1">
      <alignment horizontal="left" vertical="center"/>
      <protection/>
    </xf>
    <xf numFmtId="170" fontId="0" fillId="0" borderId="13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3" xfId="0" applyBorder="1" applyAlignment="1">
      <alignment horizontal="left" vertical="center"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1" xfId="0" applyFont="1" applyBorder="1" applyAlignment="1" applyProtection="1" quotePrefix="1">
      <alignment horizontal="left" vertical="center"/>
      <protection/>
    </xf>
    <xf numFmtId="0" fontId="0" fillId="0" borderId="7" xfId="0" applyBorder="1" applyAlignment="1">
      <alignment horizontal="left"/>
    </xf>
    <xf numFmtId="0" fontId="3" fillId="0" borderId="4" xfId="0" applyFont="1" applyBorder="1" applyAlignment="1" applyProtection="1" quotePrefix="1">
      <alignment horizontal="left" vertical="center"/>
      <protection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6" xfId="0" applyFont="1" applyBorder="1" applyAlignment="1" applyProtection="1" quotePrefix="1">
      <alignment horizontal="left" vertical="center"/>
      <protection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75" fontId="3" fillId="0" borderId="0" xfId="0" applyNumberFormat="1" applyFont="1" applyBorder="1" applyAlignment="1" applyProtection="1">
      <alignment horizontal="center" vertical="center"/>
      <protection/>
    </xf>
    <xf numFmtId="172" fontId="0" fillId="0" borderId="7" xfId="0" applyNumberFormat="1" applyBorder="1" applyAlignment="1" applyProtection="1">
      <alignment/>
      <protection/>
    </xf>
    <xf numFmtId="173" fontId="0" fillId="0" borderId="1" xfId="0" applyNumberForma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72" fontId="0" fillId="2" borderId="20" xfId="0" applyNumberFormat="1" applyFill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3" fillId="0" borderId="29" xfId="0" applyNumberFormat="1" applyFont="1" applyBorder="1" applyAlignment="1">
      <alignment horizontal="left" vertical="center"/>
    </xf>
    <xf numFmtId="172" fontId="0" fillId="0" borderId="5" xfId="0" applyNumberFormat="1" applyFill="1" applyBorder="1" applyAlignment="1" applyProtection="1">
      <alignment/>
      <protection/>
    </xf>
    <xf numFmtId="172" fontId="0" fillId="0" borderId="2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1" fontId="0" fillId="0" borderId="7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5" borderId="3" xfId="0" applyFill="1" applyBorder="1" applyAlignment="1" applyProtection="1">
      <alignment/>
      <protection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3" fillId="0" borderId="10" xfId="0" applyFont="1" applyBorder="1" applyAlignment="1" applyProtection="1">
      <alignment horizontal="right" vertical="center"/>
      <protection/>
    </xf>
    <xf numFmtId="0" fontId="0" fillId="4" borderId="31" xfId="0" applyFill="1" applyBorder="1" applyAlignment="1" applyProtection="1" quotePrefix="1">
      <alignment horizontal="left"/>
      <protection/>
    </xf>
    <xf numFmtId="0" fontId="0" fillId="0" borderId="5" xfId="0" applyNumberFormat="1" applyFill="1" applyBorder="1" applyAlignment="1" applyProtection="1">
      <alignment/>
      <protection/>
    </xf>
    <xf numFmtId="0" fontId="0" fillId="2" borderId="5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1" fontId="0" fillId="4" borderId="32" xfId="0" applyNumberFormat="1" applyFill="1" applyBorder="1" applyAlignment="1">
      <alignment horizontal="left"/>
    </xf>
    <xf numFmtId="0" fontId="0" fillId="6" borderId="33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189" fontId="0" fillId="2" borderId="34" xfId="0" applyNumberForma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1" fontId="0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35" xfId="0" applyBorder="1" applyAlignment="1" applyProtection="1">
      <alignment/>
      <protection/>
    </xf>
    <xf numFmtId="180" fontId="0" fillId="4" borderId="36" xfId="0" applyNumberFormat="1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 horizontal="left"/>
      <protection/>
    </xf>
    <xf numFmtId="180" fontId="0" fillId="4" borderId="37" xfId="0" applyNumberFormat="1" applyFill="1" applyBorder="1" applyAlignment="1" applyProtection="1">
      <alignment horizontal="left"/>
      <protection/>
    </xf>
    <xf numFmtId="11" fontId="0" fillId="4" borderId="37" xfId="0" applyNumberFormat="1" applyFill="1" applyBorder="1" applyAlignment="1" applyProtection="1">
      <alignment horizontal="left"/>
      <protection/>
    </xf>
    <xf numFmtId="3" fontId="0" fillId="4" borderId="37" xfId="0" applyNumberFormat="1" applyFill="1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175" fontId="0" fillId="4" borderId="39" xfId="0" applyNumberFormat="1" applyFill="1" applyBorder="1" applyAlignment="1" applyProtection="1">
      <alignment horizontal="left"/>
      <protection/>
    </xf>
    <xf numFmtId="0" fontId="0" fillId="0" borderId="40" xfId="0" applyBorder="1" applyAlignment="1" applyProtection="1">
      <alignment/>
      <protection/>
    </xf>
    <xf numFmtId="175" fontId="0" fillId="4" borderId="41" xfId="0" applyNumberFormat="1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4" borderId="44" xfId="0" applyFill="1" applyBorder="1" applyAlignment="1" applyProtection="1">
      <alignment horizontal="left"/>
      <protection/>
    </xf>
    <xf numFmtId="180" fontId="0" fillId="4" borderId="45" xfId="0" applyNumberFormat="1" applyFill="1" applyBorder="1" applyAlignment="1" applyProtection="1">
      <alignment horizontal="left"/>
      <protection/>
    </xf>
    <xf numFmtId="0" fontId="0" fillId="4" borderId="35" xfId="0" applyFill="1" applyBorder="1" applyAlignment="1" applyProtection="1">
      <alignment horizontal="left"/>
      <protection/>
    </xf>
    <xf numFmtId="180" fontId="0" fillId="4" borderId="35" xfId="0" applyNumberForma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11" fontId="0" fillId="4" borderId="35" xfId="0" applyNumberFormat="1" applyFill="1" applyBorder="1" applyAlignment="1" applyProtection="1">
      <alignment horizontal="left"/>
      <protection/>
    </xf>
    <xf numFmtId="3" fontId="0" fillId="4" borderId="35" xfId="0" applyNumberFormat="1" applyFill="1" applyBorder="1" applyAlignment="1" applyProtection="1">
      <alignment horizontal="left"/>
      <protection/>
    </xf>
    <xf numFmtId="175" fontId="0" fillId="4" borderId="46" xfId="0" applyNumberFormat="1" applyFill="1" applyBorder="1" applyAlignment="1" applyProtection="1">
      <alignment horizontal="left"/>
      <protection/>
    </xf>
    <xf numFmtId="0" fontId="0" fillId="4" borderId="47" xfId="0" applyNumberFormat="1" applyFill="1" applyBorder="1" applyAlignment="1" applyProtection="1">
      <alignment horizontal="left"/>
      <protection/>
    </xf>
    <xf numFmtId="0" fontId="0" fillId="0" borderId="48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 quotePrefix="1">
      <alignment/>
    </xf>
    <xf numFmtId="0" fontId="61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63" fillId="0" borderId="20" xfId="0" applyFont="1" applyBorder="1" applyAlignment="1">
      <alignment/>
    </xf>
    <xf numFmtId="0" fontId="61" fillId="0" borderId="0" xfId="0" applyFont="1" applyFill="1" applyAlignment="1">
      <alignment/>
    </xf>
    <xf numFmtId="0" fontId="61" fillId="2" borderId="20" xfId="0" applyFont="1" applyFill="1" applyBorder="1" applyAlignment="1">
      <alignment/>
    </xf>
    <xf numFmtId="0" fontId="13" fillId="2" borderId="20" xfId="0" applyFont="1" applyFill="1" applyBorder="1" applyAlignment="1">
      <alignment/>
    </xf>
    <xf numFmtId="0" fontId="61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55" fillId="0" borderId="0" xfId="0" applyFont="1" applyBorder="1" applyAlignment="1">
      <alignment/>
    </xf>
    <xf numFmtId="0" fontId="61" fillId="0" borderId="0" xfId="0" applyFont="1" applyAlignment="1">
      <alignment horizontal="left"/>
    </xf>
    <xf numFmtId="171" fontId="0" fillId="4" borderId="45" xfId="0" applyNumberFormat="1" applyFill="1" applyBorder="1" applyAlignment="1" applyProtection="1">
      <alignment horizontal="left"/>
      <protection/>
    </xf>
    <xf numFmtId="171" fontId="0" fillId="4" borderId="35" xfId="0" applyNumberFormat="1" applyFill="1" applyBorder="1" applyAlignment="1" applyProtection="1">
      <alignment horizontal="left"/>
      <protection/>
    </xf>
    <xf numFmtId="171" fontId="0" fillId="2" borderId="32" xfId="0" applyNumberFormat="1" applyFill="1" applyBorder="1" applyAlignment="1" applyProtection="1">
      <alignment horizontal="left"/>
      <protection/>
    </xf>
    <xf numFmtId="190" fontId="0" fillId="6" borderId="49" xfId="0" applyNumberFormat="1" applyFill="1" applyBorder="1" applyAlignment="1" applyProtection="1">
      <alignment horizontal="left"/>
      <protection locked="0"/>
    </xf>
    <xf numFmtId="0" fontId="0" fillId="6" borderId="50" xfId="0" applyFill="1" applyBorder="1" applyAlignment="1" applyProtection="1">
      <alignment horizontal="left"/>
      <protection locked="0"/>
    </xf>
    <xf numFmtId="0" fontId="61" fillId="2" borderId="32" xfId="0" applyFont="1" applyFill="1" applyBorder="1" applyAlignment="1">
      <alignment/>
    </xf>
    <xf numFmtId="0" fontId="61" fillId="6" borderId="9" xfId="0" applyFont="1" applyFill="1" applyBorder="1" applyAlignment="1">
      <alignment/>
    </xf>
    <xf numFmtId="0" fontId="61" fillId="2" borderId="51" xfId="0" applyFont="1" applyFill="1" applyBorder="1" applyAlignment="1">
      <alignment/>
    </xf>
    <xf numFmtId="0" fontId="61" fillId="0" borderId="51" xfId="0" applyFont="1" applyBorder="1" applyAlignment="1">
      <alignment/>
    </xf>
    <xf numFmtId="0" fontId="13" fillId="6" borderId="9" xfId="0" applyFont="1" applyFill="1" applyBorder="1" applyAlignment="1">
      <alignment/>
    </xf>
    <xf numFmtId="0" fontId="61" fillId="0" borderId="32" xfId="0" applyFont="1" applyBorder="1" applyAlignment="1">
      <alignment/>
    </xf>
    <xf numFmtId="0" fontId="11" fillId="6" borderId="52" xfId="0" applyFont="1" applyFill="1" applyBorder="1" applyAlignment="1">
      <alignment/>
    </xf>
    <xf numFmtId="0" fontId="61" fillId="0" borderId="53" xfId="0" applyFont="1" applyBorder="1" applyAlignment="1">
      <alignment/>
    </xf>
    <xf numFmtId="0" fontId="61" fillId="6" borderId="54" xfId="0" applyFont="1" applyFill="1" applyBorder="1" applyAlignment="1">
      <alignment/>
    </xf>
    <xf numFmtId="0" fontId="61" fillId="6" borderId="52" xfId="0" applyFont="1" applyFill="1" applyBorder="1" applyAlignment="1">
      <alignment/>
    </xf>
    <xf numFmtId="0" fontId="61" fillId="6" borderId="55" xfId="0" applyFont="1" applyFill="1" applyBorder="1" applyAlignment="1">
      <alignment/>
    </xf>
    <xf numFmtId="0" fontId="61" fillId="2" borderId="53" xfId="0" applyFont="1" applyFill="1" applyBorder="1" applyAlignment="1">
      <alignment/>
    </xf>
    <xf numFmtId="0" fontId="65" fillId="2" borderId="32" xfId="0" applyFont="1" applyFill="1" applyBorder="1" applyAlignment="1">
      <alignment/>
    </xf>
    <xf numFmtId="0" fontId="11" fillId="6" borderId="9" xfId="0" applyFont="1" applyFill="1" applyBorder="1" applyAlignment="1">
      <alignment/>
    </xf>
    <xf numFmtId="0" fontId="63" fillId="0" borderId="32" xfId="0" applyFont="1" applyBorder="1" applyAlignment="1">
      <alignment/>
    </xf>
    <xf numFmtId="0" fontId="3" fillId="0" borderId="5" xfId="0" applyFont="1" applyBorder="1" applyAlignment="1" applyProtection="1">
      <alignment horizontal="center" vertical="center"/>
      <protection/>
    </xf>
    <xf numFmtId="173" fontId="0" fillId="0" borderId="11" xfId="0" applyNumberFormat="1" applyBorder="1" applyAlignment="1" applyProtection="1">
      <alignment/>
      <protection/>
    </xf>
    <xf numFmtId="173" fontId="0" fillId="0" borderId="12" xfId="0" applyNumberFormat="1" applyBorder="1" applyAlignment="1" applyProtection="1">
      <alignment/>
      <protection/>
    </xf>
    <xf numFmtId="173" fontId="0" fillId="0" borderId="4" xfId="0" applyNumberFormat="1" applyBorder="1" applyAlignment="1" applyProtection="1">
      <alignment/>
      <protection/>
    </xf>
    <xf numFmtId="173" fontId="0" fillId="0" borderId="6" xfId="0" applyNumberFormat="1" applyBorder="1" applyAlignment="1" applyProtection="1">
      <alignment/>
      <protection/>
    </xf>
    <xf numFmtId="0" fontId="3" fillId="0" borderId="56" xfId="0" applyFont="1" applyFill="1" applyBorder="1" applyAlignment="1">
      <alignment horizontal="center" vertical="center" wrapText="1"/>
    </xf>
    <xf numFmtId="180" fontId="3" fillId="0" borderId="56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6" fontId="0" fillId="4" borderId="35" xfId="0" applyNumberFormat="1" applyFill="1" applyBorder="1" applyAlignment="1" applyProtection="1">
      <alignment horizontal="left"/>
      <protection/>
    </xf>
    <xf numFmtId="173" fontId="0" fillId="0" borderId="1" xfId="0" applyNumberFormat="1" applyBorder="1" applyAlignment="1" applyProtection="1">
      <alignment/>
      <protection/>
    </xf>
    <xf numFmtId="173" fontId="0" fillId="4" borderId="37" xfId="0" applyNumberFormat="1" applyFill="1" applyBorder="1" applyAlignment="1" applyProtection="1">
      <alignment horizontal="left"/>
      <protection/>
    </xf>
    <xf numFmtId="173" fontId="0" fillId="4" borderId="35" xfId="0" applyNumberFormat="1" applyFill="1" applyBorder="1" applyAlignment="1" applyProtection="1">
      <alignment horizontal="left"/>
      <protection/>
    </xf>
    <xf numFmtId="2" fontId="0" fillId="0" borderId="1" xfId="0" applyNumberFormat="1" applyBorder="1" applyAlignment="1" applyProtection="1">
      <alignment horizontal="left"/>
      <protection/>
    </xf>
    <xf numFmtId="2" fontId="0" fillId="4" borderId="37" xfId="0" applyNumberFormat="1" applyFill="1" applyBorder="1" applyAlignment="1" applyProtection="1">
      <alignment horizontal="left"/>
      <protection/>
    </xf>
    <xf numFmtId="2" fontId="0" fillId="4" borderId="35" xfId="0" applyNumberFormat="1" applyFill="1" applyBorder="1" applyAlignment="1" applyProtection="1">
      <alignment horizontal="left"/>
      <protection/>
    </xf>
    <xf numFmtId="4" fontId="0" fillId="0" borderId="1" xfId="0" applyNumberFormat="1" applyBorder="1" applyAlignment="1" applyProtection="1">
      <alignment horizontal="left"/>
      <protection/>
    </xf>
    <xf numFmtId="4" fontId="0" fillId="4" borderId="35" xfId="0" applyNumberFormat="1" applyFill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1" fontId="0" fillId="0" borderId="0" xfId="0" applyNumberFormat="1" applyAlignment="1" applyProtection="1">
      <alignment horizontal="center"/>
      <protection/>
    </xf>
    <xf numFmtId="0" fontId="0" fillId="0" borderId="42" xfId="0" applyBorder="1" applyAlignment="1">
      <alignment/>
    </xf>
    <xf numFmtId="175" fontId="0" fillId="0" borderId="1" xfId="0" applyNumberFormat="1" applyBorder="1" applyAlignment="1" applyProtection="1">
      <alignment/>
      <protection/>
    </xf>
    <xf numFmtId="175" fontId="0" fillId="0" borderId="7" xfId="0" applyNumberFormat="1" applyBorder="1" applyAlignment="1" applyProtection="1">
      <alignment/>
      <protection/>
    </xf>
    <xf numFmtId="175" fontId="0" fillId="0" borderId="3" xfId="0" applyNumberFormat="1" applyBorder="1" applyAlignment="1" applyProtection="1">
      <alignment/>
      <protection/>
    </xf>
    <xf numFmtId="173" fontId="0" fillId="4" borderId="46" xfId="0" applyNumberFormat="1" applyFill="1" applyBorder="1" applyAlignment="1" applyProtection="1">
      <alignment horizontal="left"/>
      <protection/>
    </xf>
    <xf numFmtId="173" fontId="0" fillId="4" borderId="47" xfId="0" applyNumberFormat="1" applyFill="1" applyBorder="1" applyAlignment="1" applyProtection="1">
      <alignment horizontal="left"/>
      <protection/>
    </xf>
    <xf numFmtId="1" fontId="0" fillId="0" borderId="9" xfId="0" applyNumberFormat="1" applyBorder="1" applyAlignment="1" applyProtection="1">
      <alignment horizontal="center"/>
      <protection/>
    </xf>
    <xf numFmtId="171" fontId="0" fillId="2" borderId="9" xfId="0" applyNumberForma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6" borderId="0" xfId="0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35" xfId="0" applyBorder="1" applyAlignment="1">
      <alignment/>
    </xf>
    <xf numFmtId="171" fontId="0" fillId="0" borderId="11" xfId="0" applyNumberFormat="1" applyFill="1" applyBorder="1" applyAlignment="1" applyProtection="1">
      <alignment/>
      <protection/>
    </xf>
    <xf numFmtId="0" fontId="0" fillId="0" borderId="6" xfId="0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/>
      <protection/>
    </xf>
    <xf numFmtId="168" fontId="0" fillId="4" borderId="51" xfId="0" applyNumberFormat="1" applyFill="1" applyBorder="1" applyAlignment="1" applyProtection="1">
      <alignment horizontal="left"/>
      <protection/>
    </xf>
    <xf numFmtId="0" fontId="0" fillId="0" borderId="1" xfId="0" applyFill="1" applyBorder="1" applyAlignment="1">
      <alignment/>
    </xf>
    <xf numFmtId="3" fontId="0" fillId="2" borderId="22" xfId="0" applyNumberFormat="1" applyFill="1" applyBorder="1" applyAlignment="1" applyProtection="1">
      <alignment horizontal="left"/>
      <protection/>
    </xf>
    <xf numFmtId="0" fontId="0" fillId="0" borderId="2" xfId="0" applyFill="1" applyBorder="1" applyAlignment="1" applyProtection="1">
      <alignment/>
      <protection/>
    </xf>
    <xf numFmtId="0" fontId="0" fillId="7" borderId="4" xfId="0" applyFont="1" applyFill="1" applyBorder="1" applyAlignment="1" applyProtection="1" quotePrefix="1">
      <alignment horizontal="right"/>
      <protection/>
    </xf>
    <xf numFmtId="173" fontId="0" fillId="2" borderId="9" xfId="0" applyNumberFormat="1" applyFill="1" applyBorder="1" applyAlignment="1">
      <alignment horizontal="left"/>
    </xf>
    <xf numFmtId="175" fontId="0" fillId="0" borderId="4" xfId="0" applyNumberFormat="1" applyFill="1" applyBorder="1" applyAlignment="1" applyProtection="1">
      <alignment/>
      <protection/>
    </xf>
    <xf numFmtId="0" fontId="0" fillId="6" borderId="33" xfId="0" applyNumberForma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5" fillId="6" borderId="54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 wrapText="1"/>
    </xf>
    <xf numFmtId="14" fontId="15" fillId="0" borderId="0" xfId="0" applyNumberFormat="1" applyFont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75" fontId="3" fillId="0" borderId="6" xfId="0" applyNumberFormat="1" applyFont="1" applyBorder="1" applyAlignment="1" applyProtection="1">
      <alignment horizontal="center" vertical="center"/>
      <protection/>
    </xf>
    <xf numFmtId="175" fontId="0" fillId="0" borderId="2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169" fontId="0" fillId="0" borderId="2" xfId="0" applyNumberFormat="1" applyBorder="1" applyAlignment="1" applyProtection="1">
      <alignment/>
      <protection hidden="1"/>
    </xf>
    <xf numFmtId="0" fontId="0" fillId="0" borderId="2" xfId="0" applyNumberFormat="1" applyBorder="1" applyAlignment="1" applyProtection="1">
      <alignment/>
      <protection/>
    </xf>
    <xf numFmtId="182" fontId="0" fillId="0" borderId="2" xfId="0" applyNumberFormat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/>
      <protection/>
    </xf>
    <xf numFmtId="0" fontId="0" fillId="0" borderId="58" xfId="0" applyFont="1" applyBorder="1" applyAlignment="1" applyProtection="1" quotePrefix="1">
      <alignment horizontal="right"/>
      <protection/>
    </xf>
    <xf numFmtId="0" fontId="0" fillId="0" borderId="57" xfId="0" applyFont="1" applyBorder="1" applyAlignment="1" applyProtection="1">
      <alignment horizontal="right"/>
      <protection/>
    </xf>
    <xf numFmtId="0" fontId="0" fillId="0" borderId="57" xfId="0" applyBorder="1" applyAlignment="1" applyProtection="1">
      <alignment horizontal="right"/>
      <protection/>
    </xf>
    <xf numFmtId="0" fontId="11" fillId="0" borderId="57" xfId="0" applyFont="1" applyBorder="1" applyAlignment="1" applyProtection="1">
      <alignment horizontal="right"/>
      <protection/>
    </xf>
    <xf numFmtId="0" fontId="0" fillId="0" borderId="57" xfId="0" applyFont="1" applyBorder="1" applyAlignment="1" applyProtection="1" quotePrefix="1">
      <alignment horizontal="right"/>
      <protection/>
    </xf>
    <xf numFmtId="2" fontId="0" fillId="0" borderId="57" xfId="0" applyNumberFormat="1" applyFont="1" applyBorder="1" applyAlignment="1" applyProtection="1">
      <alignment horizontal="right"/>
      <protection/>
    </xf>
    <xf numFmtId="0" fontId="15" fillId="0" borderId="57" xfId="0" applyFont="1" applyBorder="1" applyAlignment="1" applyProtection="1">
      <alignment horizontal="right"/>
      <protection/>
    </xf>
    <xf numFmtId="0" fontId="9" fillId="0" borderId="59" xfId="0" applyFont="1" applyFill="1" applyBorder="1" applyAlignment="1" applyProtection="1">
      <alignment horizontal="right"/>
      <protection/>
    </xf>
    <xf numFmtId="0" fontId="0" fillId="0" borderId="60" xfId="0" applyBorder="1" applyAlignment="1" applyProtection="1">
      <alignment horizontal="right"/>
      <protection/>
    </xf>
    <xf numFmtId="0" fontId="0" fillId="0" borderId="61" xfId="0" applyBorder="1" applyAlignment="1" applyProtection="1">
      <alignment horizontal="right"/>
      <protection/>
    </xf>
    <xf numFmtId="0" fontId="0" fillId="0" borderId="62" xfId="0" applyBorder="1" applyAlignment="1" applyProtection="1">
      <alignment horizontal="right"/>
      <protection/>
    </xf>
    <xf numFmtId="0" fontId="0" fillId="0" borderId="45" xfId="0" applyBorder="1" applyAlignment="1" applyProtection="1">
      <alignment/>
      <protection/>
    </xf>
    <xf numFmtId="0" fontId="0" fillId="0" borderId="57" xfId="0" applyBorder="1" applyAlignment="1">
      <alignment/>
    </xf>
    <xf numFmtId="0" fontId="13" fillId="0" borderId="57" xfId="0" applyFont="1" applyBorder="1" applyAlignment="1" applyProtection="1" quotePrefix="1">
      <alignment horizontal="right"/>
      <protection/>
    </xf>
    <xf numFmtId="11" fontId="0" fillId="6" borderId="0" xfId="0" applyNumberFormat="1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71" fontId="0" fillId="6" borderId="5" xfId="0" applyNumberFormat="1" applyFill="1" applyBorder="1" applyAlignment="1" applyProtection="1">
      <alignment horizontal="left"/>
      <protection locked="0"/>
    </xf>
    <xf numFmtId="11" fontId="0" fillId="6" borderId="0" xfId="0" applyNumberFormat="1" applyFill="1" applyBorder="1" applyAlignment="1" applyProtection="1">
      <alignment horizontal="left"/>
      <protection locked="0"/>
    </xf>
    <xf numFmtId="180" fontId="0" fillId="6" borderId="0" xfId="0" applyNumberFormat="1" applyFill="1" applyBorder="1" applyAlignment="1" applyProtection="1">
      <alignment horizontal="left"/>
      <protection locked="0"/>
    </xf>
    <xf numFmtId="171" fontId="0" fillId="6" borderId="0" xfId="0" applyNumberFormat="1" applyFill="1" applyBorder="1" applyAlignment="1" applyProtection="1">
      <alignment horizontal="left"/>
      <protection locked="0"/>
    </xf>
    <xf numFmtId="3" fontId="0" fillId="6" borderId="0" xfId="0" applyNumberFormat="1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  <protection locked="0"/>
    </xf>
    <xf numFmtId="4" fontId="0" fillId="6" borderId="0" xfId="0" applyNumberFormat="1" applyFill="1" applyBorder="1" applyAlignment="1" applyProtection="1">
      <alignment horizontal="left"/>
      <protection locked="0"/>
    </xf>
    <xf numFmtId="172" fontId="0" fillId="6" borderId="63" xfId="0" applyNumberFormat="1" applyFill="1" applyBorder="1" applyAlignment="1" applyProtection="1">
      <alignment horizontal="left"/>
      <protection locked="0"/>
    </xf>
    <xf numFmtId="172" fontId="0" fillId="6" borderId="64" xfId="0" applyNumberFormat="1" applyFill="1" applyBorder="1" applyAlignment="1" applyProtection="1">
      <alignment horizontal="left"/>
      <protection locked="0"/>
    </xf>
    <xf numFmtId="0" fontId="0" fillId="6" borderId="48" xfId="0" applyFill="1" applyBorder="1" applyAlignment="1" applyProtection="1">
      <alignment horizontal="left"/>
      <protection locked="0"/>
    </xf>
    <xf numFmtId="0" fontId="0" fillId="0" borderId="65" xfId="0" applyBorder="1" applyAlignment="1">
      <alignment/>
    </xf>
    <xf numFmtId="0" fontId="3" fillId="0" borderId="58" xfId="0" applyFont="1" applyFill="1" applyBorder="1" applyAlignment="1" applyProtection="1">
      <alignment horizontal="left"/>
      <protection/>
    </xf>
    <xf numFmtId="173" fontId="0" fillId="0" borderId="57" xfId="0" applyNumberFormat="1" applyBorder="1" applyAlignment="1" applyProtection="1">
      <alignment horizontal="right"/>
      <protection/>
    </xf>
    <xf numFmtId="0" fontId="11" fillId="0" borderId="59" xfId="0" applyFont="1" applyFill="1" applyBorder="1" applyAlignment="1" applyProtection="1">
      <alignment horizontal="right"/>
      <protection/>
    </xf>
    <xf numFmtId="0" fontId="0" fillId="0" borderId="65" xfId="0" applyBorder="1" applyAlignment="1" applyProtection="1">
      <alignment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/>
    </xf>
    <xf numFmtId="0" fontId="3" fillId="0" borderId="66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 quotePrefix="1">
      <alignment horizontal="righ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5" fontId="0" fillId="0" borderId="0" xfId="0" applyNumberForma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0" fillId="0" borderId="2" xfId="0" applyBorder="1" applyAlignment="1" applyProtection="1">
      <alignment horizontal="center" vertical="center"/>
      <protection/>
    </xf>
    <xf numFmtId="173" fontId="0" fillId="6" borderId="0" xfId="0" applyNumberFormat="1" applyFill="1" applyBorder="1" applyAlignment="1" applyProtection="1">
      <alignment horizontal="left"/>
      <protection locked="0"/>
    </xf>
    <xf numFmtId="2" fontId="0" fillId="6" borderId="0" xfId="0" applyNumberFormat="1" applyFill="1" applyBorder="1" applyAlignment="1" applyProtection="1">
      <alignment horizontal="left"/>
      <protection locked="0"/>
    </xf>
    <xf numFmtId="11" fontId="0" fillId="6" borderId="2" xfId="0" applyNumberFormat="1" applyFill="1" applyBorder="1" applyAlignment="1" applyProtection="1">
      <alignment horizontal="left"/>
      <protection locked="0"/>
    </xf>
    <xf numFmtId="175" fontId="0" fillId="6" borderId="63" xfId="0" applyNumberFormat="1" applyFill="1" applyBorder="1" applyAlignment="1" applyProtection="1">
      <alignment horizontal="left"/>
      <protection locked="0"/>
    </xf>
    <xf numFmtId="175" fontId="0" fillId="6" borderId="64" xfId="0" applyNumberFormat="1" applyFill="1" applyBorder="1" applyAlignment="1" applyProtection="1">
      <alignment horizontal="left"/>
      <protection locked="0"/>
    </xf>
    <xf numFmtId="0" fontId="0" fillId="6" borderId="63" xfId="0" applyNumberFormat="1" applyFill="1" applyBorder="1" applyAlignment="1" applyProtection="1">
      <alignment horizontal="left"/>
      <protection locked="0"/>
    </xf>
    <xf numFmtId="0" fontId="0" fillId="6" borderId="64" xfId="0" applyNumberFormat="1" applyFill="1" applyBorder="1" applyAlignment="1" applyProtection="1">
      <alignment horizontal="left"/>
      <protection locked="0"/>
    </xf>
    <xf numFmtId="0" fontId="0" fillId="6" borderId="0" xfId="0" applyNumberFormat="1" applyFill="1" applyBorder="1" applyAlignment="1" applyProtection="1">
      <alignment horizontal="left"/>
      <protection locked="0"/>
    </xf>
    <xf numFmtId="3" fontId="0" fillId="6" borderId="67" xfId="0" applyNumberFormat="1" applyFill="1" applyBorder="1" applyAlignment="1" applyProtection="1">
      <alignment horizontal="left"/>
      <protection locked="0"/>
    </xf>
    <xf numFmtId="0" fontId="0" fillId="6" borderId="48" xfId="0" applyNumberForma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/>
    </xf>
    <xf numFmtId="0" fontId="0" fillId="0" borderId="6" xfId="0" applyFill="1" applyBorder="1" applyAlignment="1" applyProtection="1">
      <alignment horizontal="right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5" xfId="0" applyNumberFormat="1" applyBorder="1" applyAlignment="1" applyProtection="1">
      <alignment horizontal="center"/>
      <protection/>
    </xf>
    <xf numFmtId="171" fontId="0" fillId="0" borderId="4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 horizontal="center"/>
      <protection/>
    </xf>
    <xf numFmtId="171" fontId="0" fillId="0" borderId="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 horizontal="center"/>
      <protection/>
    </xf>
    <xf numFmtId="11" fontId="0" fillId="0" borderId="68" xfId="0" applyNumberFormat="1" applyFont="1" applyFill="1" applyBorder="1" applyAlignment="1" applyProtection="1">
      <alignment horizontal="center"/>
      <protection/>
    </xf>
    <xf numFmtId="0" fontId="0" fillId="0" borderId="57" xfId="0" applyBorder="1" applyAlignment="1">
      <alignment horizontal="right"/>
    </xf>
    <xf numFmtId="0" fontId="0" fillId="6" borderId="0" xfId="0" applyFill="1" applyBorder="1" applyAlignment="1">
      <alignment/>
    </xf>
    <xf numFmtId="0" fontId="0" fillId="0" borderId="58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35" xfId="0" applyBorder="1" applyAlignment="1">
      <alignment/>
    </xf>
    <xf numFmtId="0" fontId="0" fillId="6" borderId="0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73" fontId="0" fillId="0" borderId="1" xfId="0" applyNumberFormat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175" fontId="0" fillId="0" borderId="7" xfId="0" applyNumberFormat="1" applyBorder="1" applyAlignment="1">
      <alignment/>
    </xf>
    <xf numFmtId="172" fontId="0" fillId="4" borderId="32" xfId="0" applyNumberFormat="1" applyFill="1" applyBorder="1" applyAlignment="1">
      <alignment horizontal="left"/>
    </xf>
    <xf numFmtId="0" fontId="0" fillId="0" borderId="48" xfId="0" applyBorder="1" applyAlignment="1">
      <alignment/>
    </xf>
    <xf numFmtId="0" fontId="0" fillId="6" borderId="2" xfId="0" applyNumberFormat="1" applyFill="1" applyBorder="1" applyAlignment="1" applyProtection="1">
      <alignment horizontal="left"/>
      <protection locked="0"/>
    </xf>
    <xf numFmtId="172" fontId="0" fillId="6" borderId="0" xfId="0" applyNumberFormat="1" applyFill="1" applyBorder="1" applyAlignment="1" applyProtection="1">
      <alignment horizontal="left"/>
      <protection locked="0"/>
    </xf>
    <xf numFmtId="172" fontId="0" fillId="4" borderId="37" xfId="0" applyNumberFormat="1" applyFill="1" applyBorder="1" applyAlignment="1" applyProtection="1">
      <alignment horizontal="left"/>
      <protection/>
    </xf>
    <xf numFmtId="11" fontId="0" fillId="6" borderId="5" xfId="0" applyNumberFormat="1" applyFill="1" applyBorder="1" applyAlignment="1" applyProtection="1">
      <alignment horizontal="left"/>
      <protection locked="0"/>
    </xf>
    <xf numFmtId="11" fontId="0" fillId="4" borderId="36" xfId="0" applyNumberFormat="1" applyFill="1" applyBorder="1" applyAlignment="1" applyProtection="1">
      <alignment horizontal="left"/>
      <protection/>
    </xf>
    <xf numFmtId="0" fontId="0" fillId="0" borderId="6" xfId="0" applyBorder="1" applyAlignment="1">
      <alignment horizontal="right"/>
    </xf>
    <xf numFmtId="0" fontId="0" fillId="2" borderId="2" xfId="0" applyNumberForma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76" fontId="0" fillId="4" borderId="51" xfId="0" applyNumberFormat="1" applyFill="1" applyBorder="1" applyAlignment="1">
      <alignment horizontal="left"/>
    </xf>
    <xf numFmtId="172" fontId="0" fillId="2" borderId="9" xfId="0" applyNumberForma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173" fontId="3" fillId="0" borderId="11" xfId="0" applyNumberFormat="1" applyFont="1" applyBorder="1" applyAlignment="1" applyProtection="1">
      <alignment horizontal="left"/>
      <protection/>
    </xf>
    <xf numFmtId="0" fontId="0" fillId="0" borderId="0" xfId="0" applyBorder="1" applyAlignment="1" quotePrefix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69" xfId="0" applyBorder="1" applyAlignment="1" applyProtection="1">
      <alignment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0" fillId="6" borderId="0" xfId="0" applyFill="1" applyBorder="1" applyAlignment="1">
      <alignment horizontal="left"/>
    </xf>
    <xf numFmtId="0" fontId="3" fillId="0" borderId="35" xfId="0" applyFont="1" applyFill="1" applyBorder="1" applyAlignment="1" applyProtection="1">
      <alignment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0" fillId="6" borderId="0" xfId="0" applyFill="1" applyBorder="1" applyAlignment="1" applyProtection="1">
      <alignment/>
      <protection/>
    </xf>
    <xf numFmtId="11" fontId="0" fillId="6" borderId="0" xfId="0" applyNumberFormat="1" applyFill="1" applyBorder="1" applyAlignment="1" applyProtection="1">
      <alignment vertical="center"/>
      <protection/>
    </xf>
    <xf numFmtId="0" fontId="0" fillId="6" borderId="0" xfId="0" applyFill="1" applyBorder="1" applyAlignment="1" applyProtection="1">
      <alignment vertical="center"/>
      <protection/>
    </xf>
    <xf numFmtId="171" fontId="0" fillId="6" borderId="5" xfId="0" applyNumberFormat="1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left"/>
      <protection/>
    </xf>
    <xf numFmtId="180" fontId="0" fillId="6" borderId="0" xfId="0" applyNumberFormat="1" applyFill="1" applyBorder="1" applyAlignment="1" applyProtection="1">
      <alignment horizontal="left"/>
      <protection/>
    </xf>
    <xf numFmtId="11" fontId="0" fillId="6" borderId="0" xfId="0" applyNumberFormat="1" applyFill="1" applyBorder="1" applyAlignment="1" applyProtection="1">
      <alignment horizontal="left"/>
      <protection/>
    </xf>
    <xf numFmtId="171" fontId="0" fillId="6" borderId="0" xfId="0" applyNumberFormat="1" applyFill="1" applyBorder="1" applyAlignment="1" applyProtection="1">
      <alignment horizontal="left"/>
      <protection/>
    </xf>
    <xf numFmtId="3" fontId="0" fillId="6" borderId="0" xfId="0" applyNumberFormat="1" applyFill="1" applyBorder="1" applyAlignment="1" applyProtection="1">
      <alignment horizontal="left"/>
      <protection/>
    </xf>
    <xf numFmtId="186" fontId="0" fillId="6" borderId="0" xfId="0" applyNumberFormat="1" applyFill="1" applyBorder="1" applyAlignment="1" applyProtection="1">
      <alignment horizontal="left"/>
      <protection/>
    </xf>
    <xf numFmtId="4" fontId="0" fillId="6" borderId="0" xfId="0" applyNumberFormat="1" applyFill="1" applyBorder="1" applyAlignment="1" applyProtection="1">
      <alignment horizontal="left"/>
      <protection/>
    </xf>
    <xf numFmtId="172" fontId="0" fillId="6" borderId="63" xfId="0" applyNumberFormat="1" applyFill="1" applyBorder="1" applyAlignment="1" applyProtection="1">
      <alignment horizontal="left"/>
      <protection/>
    </xf>
    <xf numFmtId="172" fontId="0" fillId="6" borderId="64" xfId="0" applyNumberForma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vertical="center"/>
      <protection/>
    </xf>
    <xf numFmtId="0" fontId="0" fillId="6" borderId="48" xfId="0" applyFill="1" applyBorder="1" applyAlignment="1" applyProtection="1">
      <alignment horizontal="left"/>
      <protection/>
    </xf>
    <xf numFmtId="168" fontId="0" fillId="0" borderId="10" xfId="0" applyNumberForma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 quotePrefix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Alignment="1" quotePrefix="1">
      <alignment horizontal="left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4" fontId="0" fillId="0" borderId="11" xfId="0" applyNumberFormat="1" applyBorder="1" applyAlignment="1" applyProtection="1">
      <alignment/>
      <protection/>
    </xf>
    <xf numFmtId="4" fontId="0" fillId="0" borderId="4" xfId="0" applyNumberFormat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0" fontId="0" fillId="0" borderId="70" xfId="0" applyFill="1" applyBorder="1" applyAlignment="1">
      <alignment horizontal="right" vertical="center"/>
    </xf>
    <xf numFmtId="4" fontId="0" fillId="2" borderId="9" xfId="0" applyNumberForma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/>
    </xf>
    <xf numFmtId="172" fontId="0" fillId="0" borderId="4" xfId="0" applyNumberFormat="1" applyBorder="1" applyAlignment="1" applyProtection="1">
      <alignment vertical="center"/>
      <protection/>
    </xf>
    <xf numFmtId="11" fontId="0" fillId="0" borderId="0" xfId="0" applyNumberFormat="1" applyBorder="1" applyAlignment="1" applyProtection="1">
      <alignment vertical="center"/>
      <protection/>
    </xf>
    <xf numFmtId="172" fontId="0" fillId="0" borderId="0" xfId="0" applyNumberFormat="1" applyFill="1" applyBorder="1" applyAlignment="1" applyProtection="1">
      <alignment vertical="center"/>
      <protection/>
    </xf>
    <xf numFmtId="172" fontId="0" fillId="0" borderId="1" xfId="0" applyNumberFormat="1" applyBorder="1" applyAlignment="1" applyProtection="1">
      <alignment vertical="center"/>
      <protection/>
    </xf>
    <xf numFmtId="175" fontId="0" fillId="0" borderId="1" xfId="0" applyNumberFormat="1" applyBorder="1" applyAlignment="1" applyProtection="1">
      <alignment vertical="center"/>
      <protection/>
    </xf>
    <xf numFmtId="171" fontId="0" fillId="0" borderId="0" xfId="0" applyNumberFormat="1" applyAlignment="1" applyProtection="1">
      <alignment vertical="center"/>
      <protection/>
    </xf>
    <xf numFmtId="168" fontId="0" fillId="0" borderId="0" xfId="0" applyNumberFormat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8" fontId="0" fillId="0" borderId="4" xfId="0" applyNumberFormat="1" applyBorder="1" applyAlignment="1" applyProtection="1">
      <alignment vertical="center"/>
      <protection/>
    </xf>
    <xf numFmtId="168" fontId="0" fillId="0" borderId="0" xfId="0" applyNumberForma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170" fontId="0" fillId="0" borderId="0" xfId="0" applyNumberFormat="1" applyBorder="1" applyAlignment="1" applyProtection="1">
      <alignment vertical="center"/>
      <protection/>
    </xf>
    <xf numFmtId="170" fontId="0" fillId="0" borderId="1" xfId="0" applyNumberFormat="1" applyBorder="1" applyAlignment="1" applyProtection="1">
      <alignment vertical="center"/>
      <protection/>
    </xf>
    <xf numFmtId="168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82" fontId="0" fillId="0" borderId="4" xfId="0" applyNumberFormat="1" applyBorder="1" applyAlignment="1" applyProtection="1">
      <alignment vertical="center"/>
      <protection/>
    </xf>
    <xf numFmtId="2" fontId="0" fillId="0" borderId="1" xfId="0" applyNumberFormat="1" applyBorder="1" applyAlignment="1" applyProtection="1">
      <alignment vertical="center"/>
      <protection/>
    </xf>
    <xf numFmtId="186" fontId="0" fillId="6" borderId="0" xfId="0" applyNumberForma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4" borderId="71" xfId="0" applyNumberFormat="1" applyFill="1" applyBorder="1" applyAlignment="1" applyProtection="1">
      <alignment horizontal="left"/>
      <protection/>
    </xf>
    <xf numFmtId="11" fontId="0" fillId="4" borderId="71" xfId="0" applyNumberFormat="1" applyFill="1" applyBorder="1" applyAlignment="1" applyProtection="1">
      <alignment horizontal="left"/>
      <protection/>
    </xf>
    <xf numFmtId="171" fontId="0" fillId="4" borderId="71" xfId="0" applyNumberFormat="1" applyFill="1" applyBorder="1" applyAlignment="1" applyProtection="1">
      <alignment horizontal="left"/>
      <protection/>
    </xf>
    <xf numFmtId="3" fontId="0" fillId="4" borderId="71" xfId="0" applyNumberFormat="1" applyFill="1" applyBorder="1" applyAlignment="1" applyProtection="1">
      <alignment horizontal="left"/>
      <protection/>
    </xf>
    <xf numFmtId="0" fontId="0" fillId="4" borderId="71" xfId="0" applyFill="1" applyBorder="1" applyAlignment="1" applyProtection="1">
      <alignment horizontal="left"/>
      <protection/>
    </xf>
    <xf numFmtId="186" fontId="0" fillId="4" borderId="71" xfId="0" applyNumberFormat="1" applyFill="1" applyBorder="1" applyAlignment="1" applyProtection="1">
      <alignment horizontal="left"/>
      <protection/>
    </xf>
    <xf numFmtId="4" fontId="0" fillId="4" borderId="71" xfId="0" applyNumberFormat="1" applyFill="1" applyBorder="1" applyAlignment="1" applyProtection="1">
      <alignment horizontal="left"/>
      <protection/>
    </xf>
    <xf numFmtId="2" fontId="0" fillId="4" borderId="71" xfId="0" applyNumberFormat="1" applyFill="1" applyBorder="1" applyAlignment="1" applyProtection="1">
      <alignment horizontal="left"/>
      <protection/>
    </xf>
    <xf numFmtId="173" fontId="0" fillId="4" borderId="72" xfId="0" applyNumberFormat="1" applyFill="1" applyBorder="1" applyAlignment="1" applyProtection="1">
      <alignment horizontal="left"/>
      <protection/>
    </xf>
    <xf numFmtId="172" fontId="0" fillId="6" borderId="73" xfId="0" applyNumberFormat="1" applyFill="1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right"/>
      <protection/>
    </xf>
    <xf numFmtId="172" fontId="0" fillId="6" borderId="75" xfId="0" applyNumberFormat="1" applyFill="1" applyBorder="1" applyAlignment="1" applyProtection="1">
      <alignment horizontal="left"/>
      <protection locked="0"/>
    </xf>
    <xf numFmtId="0" fontId="0" fillId="0" borderId="76" xfId="0" applyBorder="1" applyAlignment="1" applyProtection="1">
      <alignment/>
      <protection/>
    </xf>
    <xf numFmtId="173" fontId="0" fillId="4" borderId="71" xfId="0" applyNumberFormat="1" applyFill="1" applyBorder="1" applyAlignment="1" applyProtection="1">
      <alignment horizontal="left"/>
      <protection/>
    </xf>
    <xf numFmtId="0" fontId="0" fillId="0" borderId="59" xfId="0" applyBorder="1" applyAlignment="1" applyProtection="1">
      <alignment horizontal="right"/>
      <protection/>
    </xf>
    <xf numFmtId="0" fontId="0" fillId="0" borderId="77" xfId="0" applyBorder="1" applyAlignment="1" applyProtection="1">
      <alignment/>
      <protection/>
    </xf>
    <xf numFmtId="2" fontId="0" fillId="0" borderId="2" xfId="0" applyNumberFormat="1" applyBorder="1" applyAlignment="1" applyProtection="1" quotePrefix="1">
      <alignment horizontal="left" vertical="center"/>
      <protection/>
    </xf>
    <xf numFmtId="0" fontId="3" fillId="8" borderId="29" xfId="0" applyFont="1" applyFill="1" applyBorder="1" applyAlignment="1" applyProtection="1">
      <alignment horizontal="left" vertical="center"/>
      <protection/>
    </xf>
    <xf numFmtId="0" fontId="0" fillId="8" borderId="10" xfId="0" applyFill="1" applyBorder="1" applyAlignment="1">
      <alignment horizontal="left" vertical="center"/>
    </xf>
    <xf numFmtId="0" fontId="3" fillId="6" borderId="78" xfId="0" applyFont="1" applyFill="1" applyBorder="1" applyAlignment="1" applyProtection="1">
      <alignment horizontal="center"/>
      <protection locked="0"/>
    </xf>
    <xf numFmtId="0" fontId="3" fillId="0" borderId="65" xfId="0" applyFont="1" applyBorder="1" applyAlignment="1" applyProtection="1" quotePrefix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3" fillId="0" borderId="42" xfId="0" applyFont="1" applyBorder="1" applyAlignment="1" applyProtection="1" quotePrefix="1">
      <alignment horizontal="center" vertical="center"/>
      <protection/>
    </xf>
    <xf numFmtId="0" fontId="0" fillId="5" borderId="79" xfId="0" applyFont="1" applyFill="1" applyBorder="1" applyAlignment="1" applyProtection="1" quotePrefix="1">
      <alignment horizontal="right"/>
      <protection/>
    </xf>
    <xf numFmtId="11" fontId="0" fillId="9" borderId="51" xfId="0" applyNumberFormat="1" applyFill="1" applyBorder="1" applyAlignment="1" applyProtection="1">
      <alignment horizontal="left"/>
      <protection/>
    </xf>
    <xf numFmtId="173" fontId="0" fillId="0" borderId="0" xfId="0" applyNumberFormat="1" applyFill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5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6" borderId="80" xfId="0" applyFont="1" applyFill="1" applyBorder="1" applyAlignment="1" applyProtection="1">
      <alignment horizontal="center"/>
      <protection locked="0"/>
    </xf>
    <xf numFmtId="0" fontId="3" fillId="6" borderId="81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right"/>
      <protection/>
    </xf>
    <xf numFmtId="168" fontId="0" fillId="4" borderId="19" xfId="0" applyNumberFormat="1" applyFill="1" applyBorder="1" applyAlignment="1" applyProtection="1">
      <alignment horizontal="left"/>
      <protection/>
    </xf>
    <xf numFmtId="170" fontId="0" fillId="0" borderId="16" xfId="0" applyNumberFormat="1" applyFill="1" applyBorder="1" applyAlignment="1" applyProtection="1">
      <alignment/>
      <protection/>
    </xf>
    <xf numFmtId="0" fontId="0" fillId="7" borderId="6" xfId="0" applyFill="1" applyBorder="1" applyAlignment="1" applyProtection="1">
      <alignment horizontal="right"/>
      <protection/>
    </xf>
    <xf numFmtId="175" fontId="0" fillId="9" borderId="2" xfId="0" applyNumberFormat="1" applyFill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0" xfId="0" applyFill="1" applyBorder="1" applyAlignment="1">
      <alignment/>
    </xf>
    <xf numFmtId="171" fontId="0" fillId="4" borderId="19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175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175" fontId="0" fillId="0" borderId="0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175" fontId="0" fillId="0" borderId="2" xfId="0" applyNumberForma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 locked="0"/>
    </xf>
    <xf numFmtId="173" fontId="0" fillId="2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189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10" borderId="0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/>
    </xf>
    <xf numFmtId="0" fontId="0" fillId="7" borderId="35" xfId="0" applyFill="1" applyBorder="1" applyAlignment="1" applyProtection="1">
      <alignment/>
      <protection/>
    </xf>
    <xf numFmtId="4" fontId="0" fillId="0" borderId="4" xfId="0" applyNumberFormat="1" applyBorder="1" applyAlignment="1" applyProtection="1">
      <alignment vertical="center"/>
      <protection/>
    </xf>
    <xf numFmtId="0" fontId="0" fillId="0" borderId="29" xfId="0" applyNumberFormat="1" applyBorder="1" applyAlignment="1" applyProtection="1">
      <alignment/>
      <protection/>
    </xf>
    <xf numFmtId="171" fontId="0" fillId="0" borderId="30" xfId="0" applyNumberFormat="1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168" fontId="0" fillId="0" borderId="3" xfId="0" applyNumberFormat="1" applyBorder="1" applyAlignment="1" applyProtection="1">
      <alignment/>
      <protection/>
    </xf>
    <xf numFmtId="0" fontId="0" fillId="0" borderId="57" xfId="0" applyFill="1" applyBorder="1" applyAlignment="1">
      <alignment/>
    </xf>
    <xf numFmtId="0" fontId="0" fillId="0" borderId="57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 quotePrefix="1">
      <alignment horizontal="right"/>
      <protection/>
    </xf>
    <xf numFmtId="171" fontId="0" fillId="0" borderId="0" xfId="0" applyNumberForma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right"/>
      <protection/>
    </xf>
    <xf numFmtId="0" fontId="0" fillId="0" borderId="57" xfId="0" applyFill="1" applyBorder="1" applyAlignment="1" applyProtection="1">
      <alignment horizontal="right"/>
      <protection/>
    </xf>
    <xf numFmtId="180" fontId="0" fillId="0" borderId="0" xfId="0" applyNumberFormat="1" applyFill="1" applyBorder="1" applyAlignment="1" applyProtection="1">
      <alignment horizontal="left"/>
      <protection/>
    </xf>
    <xf numFmtId="0" fontId="11" fillId="0" borderId="57" xfId="0" applyFont="1" applyFill="1" applyBorder="1" applyAlignment="1" applyProtection="1">
      <alignment horizontal="right"/>
      <protection/>
    </xf>
    <xf numFmtId="11" fontId="0" fillId="0" borderId="0" xfId="0" applyNumberFormat="1" applyFill="1" applyBorder="1" applyAlignment="1" applyProtection="1">
      <alignment horizontal="left"/>
      <protection/>
    </xf>
    <xf numFmtId="173" fontId="0" fillId="0" borderId="57" xfId="0" applyNumberFormat="1" applyFill="1" applyBorder="1" applyAlignment="1" applyProtection="1">
      <alignment horizontal="right"/>
      <protection/>
    </xf>
    <xf numFmtId="186" fontId="0" fillId="0" borderId="0" xfId="0" applyNumberFormat="1" applyFill="1" applyBorder="1" applyAlignment="1" applyProtection="1">
      <alignment horizontal="left"/>
      <protection/>
    </xf>
    <xf numFmtId="2" fontId="0" fillId="0" borderId="57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left"/>
      <protection/>
    </xf>
    <xf numFmtId="0" fontId="0" fillId="0" borderId="57" xfId="0" applyFill="1" applyBorder="1" applyAlignment="1">
      <alignment horizontal="right"/>
    </xf>
    <xf numFmtId="0" fontId="13" fillId="0" borderId="57" xfId="0" applyFont="1" applyFill="1" applyBorder="1" applyAlignment="1" applyProtection="1" quotePrefix="1">
      <alignment horizontal="right"/>
      <protection/>
    </xf>
    <xf numFmtId="0" fontId="15" fillId="0" borderId="57" xfId="0" applyFont="1" applyFill="1" applyBorder="1" applyAlignment="1" applyProtection="1">
      <alignment horizontal="right"/>
      <protection/>
    </xf>
    <xf numFmtId="168" fontId="0" fillId="6" borderId="0" xfId="0" applyNumberFormat="1" applyFill="1" applyBorder="1" applyAlignment="1" applyProtection="1">
      <alignment horizontal="left"/>
      <protection locked="0"/>
    </xf>
    <xf numFmtId="168" fontId="0" fillId="4" borderId="35" xfId="0" applyNumberFormat="1" applyFill="1" applyBorder="1" applyAlignment="1" applyProtection="1">
      <alignment horizontal="left"/>
      <protection/>
    </xf>
    <xf numFmtId="0" fontId="15" fillId="0" borderId="12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2" fontId="0" fillId="0" borderId="15" xfId="0" applyNumberFormat="1" applyBorder="1" applyAlignment="1" applyProtection="1">
      <alignment horizontal="left" vertical="center"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12" xfId="0" applyBorder="1" applyAlignment="1">
      <alignment horizontal="right"/>
    </xf>
    <xf numFmtId="168" fontId="0" fillId="4" borderId="14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6" borderId="29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15" fillId="6" borderId="30" xfId="0" applyFont="1" applyFill="1" applyBorder="1" applyAlignment="1">
      <alignment/>
    </xf>
    <xf numFmtId="0" fontId="15" fillId="2" borderId="0" xfId="0" applyFont="1" applyFill="1" applyAlignment="1">
      <alignment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7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6" borderId="81" xfId="0" applyFill="1" applyBorder="1" applyAlignment="1" applyProtection="1">
      <alignment horizontal="center"/>
      <protection locked="0"/>
    </xf>
    <xf numFmtId="0" fontId="0" fillId="6" borderId="78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6" borderId="80" xfId="0" applyFont="1" applyFill="1" applyBorder="1" applyAlignment="1" applyProtection="1">
      <alignment horizontal="left"/>
      <protection/>
    </xf>
    <xf numFmtId="0" fontId="0" fillId="6" borderId="81" xfId="0" applyFill="1" applyBorder="1" applyAlignment="1">
      <alignment/>
    </xf>
    <xf numFmtId="0" fontId="0" fillId="6" borderId="78" xfId="0" applyFill="1" applyBorder="1" applyAlignment="1">
      <alignment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8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5" fontId="0" fillId="6" borderId="86" xfId="0" applyNumberFormat="1" applyFill="1" applyBorder="1" applyAlignment="1" applyProtection="1">
      <alignment horizontal="left"/>
      <protection locked="0"/>
    </xf>
    <xf numFmtId="175" fontId="0" fillId="6" borderId="87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  <protection/>
    </xf>
    <xf numFmtId="182" fontId="0" fillId="0" borderId="3" xfId="0" applyNumberFormat="1" applyBorder="1" applyAlignment="1" applyProtection="1">
      <alignment/>
      <protection/>
    </xf>
    <xf numFmtId="182" fontId="0" fillId="0" borderId="1" xfId="0" applyNumberFormat="1" applyBorder="1" applyAlignment="1" applyProtection="1">
      <alignment/>
      <protection/>
    </xf>
    <xf numFmtId="182" fontId="0" fillId="0" borderId="1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169" fontId="0" fillId="0" borderId="11" xfId="0" applyNumberFormat="1" applyBorder="1" applyAlignment="1" applyProtection="1">
      <alignment/>
      <protection hidden="1"/>
    </xf>
    <xf numFmtId="169" fontId="0" fillId="0" borderId="6" xfId="0" applyNumberFormat="1" applyBorder="1" applyAlignment="1" applyProtection="1">
      <alignment/>
      <protection hidden="1"/>
    </xf>
    <xf numFmtId="0" fontId="0" fillId="2" borderId="5" xfId="0" applyNumberFormat="1" applyFill="1" applyBorder="1" applyAlignment="1" applyProtection="1">
      <alignment/>
      <protection/>
    </xf>
    <xf numFmtId="180" fontId="0" fillId="2" borderId="0" xfId="0" applyNumberFormat="1" applyFill="1" applyBorder="1" applyAlignment="1">
      <alignment horizontal="left"/>
    </xf>
    <xf numFmtId="0" fontId="11" fillId="0" borderId="4" xfId="0" applyFont="1" applyBorder="1" applyAlignment="1" applyProtection="1" quotePrefix="1">
      <alignment horizontal="right" vertical="center"/>
      <protection/>
    </xf>
    <xf numFmtId="172" fontId="0" fillId="2" borderId="53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6" xfId="0" applyBorder="1" applyAlignment="1" applyProtection="1" quotePrefix="1">
      <alignment horizontal="right" vertical="center"/>
      <protection/>
    </xf>
    <xf numFmtId="0" fontId="0" fillId="2" borderId="88" xfId="0" applyNumberFormat="1" applyFill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172" fontId="0" fillId="2" borderId="53" xfId="0" applyNumberFormat="1" applyFill="1" applyBorder="1" applyAlignment="1" applyProtection="1">
      <alignment horizontal="left"/>
      <protection locked="0"/>
    </xf>
    <xf numFmtId="0" fontId="15" fillId="0" borderId="6" xfId="0" applyFont="1" applyFill="1" applyBorder="1" applyAlignment="1">
      <alignment horizontal="right"/>
    </xf>
    <xf numFmtId="2" fontId="0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6" borderId="9" xfId="0" applyNumberForma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worksheet" Target="worksheets/sheet1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1/B - V / m/s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Control!$Q$41:$Q$119</c:f>
              <c:numCache>
                <c:ptCount val="79"/>
                <c:pt idx="0">
                  <c:v>222.23754599521033</c:v>
                </c:pt>
                <c:pt idx="1">
                  <c:v>392.3466507522561</c:v>
                </c:pt>
                <c:pt idx="2">
                  <c:v>562.4164743497237</c:v>
                </c:pt>
                <c:pt idx="3">
                  <c:v>894.9008308662607</c:v>
                </c:pt>
                <c:pt idx="4">
                  <c:v>1220.2453876394873</c:v>
                </c:pt>
                <c:pt idx="5">
                  <c:v>1541.7476732039513</c:v>
                </c:pt>
                <c:pt idx="6">
                  <c:v>1861.0797336775827</c:v>
                </c:pt>
                <c:pt idx="7">
                  <c:v>2179.089829242326</c:v>
                </c:pt>
                <c:pt idx="8">
                  <c:v>2496.2404344105794</c:v>
                </c:pt>
                <c:pt idx="9">
                  <c:v>2812.801712855259</c:v>
                </c:pt>
                <c:pt idx="10">
                  <c:v>3128.9408851987846</c:v>
                </c:pt>
                <c:pt idx="11">
                  <c:v>4706.107966655875</c:v>
                </c:pt>
                <c:pt idx="12">
                  <c:v>6280.356029309775</c:v>
                </c:pt>
                <c:pt idx="13">
                  <c:v>9424.71969361334</c:v>
                </c:pt>
                <c:pt idx="14">
                  <c:v>12564.945836915353</c:v>
                </c:pt>
                <c:pt idx="15">
                  <c:v>15700.87884510998</c:v>
                </c:pt>
                <c:pt idx="16">
                  <c:v>18831.848503419085</c:v>
                </c:pt>
                <c:pt idx="17">
                  <c:v>21957.04233023502</c:v>
                </c:pt>
                <c:pt idx="18">
                  <c:v>25075.600117043017</c:v>
                </c:pt>
                <c:pt idx="19">
                  <c:v>28186.64638093557</c:v>
                </c:pt>
                <c:pt idx="20">
                  <c:v>31289.30411955739</c:v>
                </c:pt>
                <c:pt idx="21">
                  <c:v>34382.70173202265</c:v>
                </c:pt>
                <c:pt idx="22">
                  <c:v>37465.97706410377</c:v>
                </c:pt>
                <c:pt idx="23">
                  <c:v>40538.280099496</c:v>
                </c:pt>
                <c:pt idx="24">
                  <c:v>43598.77494798564</c:v>
                </c:pt>
                <c:pt idx="25">
                  <c:v>46646.64143285826</c:v>
                </c:pt>
                <c:pt idx="26">
                  <c:v>61669.097475198934</c:v>
                </c:pt>
                <c:pt idx="27">
                  <c:v>90351.73574838197</c:v>
                </c:pt>
                <c:pt idx="28">
                  <c:v>116768.15342292254</c:v>
                </c:pt>
                <c:pt idx="29">
                  <c:v>140594.5209480955</c:v>
                </c:pt>
                <c:pt idx="30">
                  <c:v>161730.9888437559</c:v>
                </c:pt>
                <c:pt idx="31">
                  <c:v>180249.74664891293</c:v>
                </c:pt>
                <c:pt idx="32">
                  <c:v>196335.07384483717</c:v>
                </c:pt>
                <c:pt idx="33">
                  <c:v>210230.52670165407</c:v>
                </c:pt>
                <c:pt idx="34">
                  <c:v>222199.66206446776</c:v>
                </c:pt>
                <c:pt idx="35">
                  <c:v>261386.2891064372</c:v>
                </c:pt>
                <c:pt idx="36">
                  <c:v>269361.6765574687</c:v>
                </c:pt>
                <c:pt idx="37">
                  <c:v>280936.51294062</c:v>
                </c:pt>
                <c:pt idx="38">
                  <c:v>291604.2906613792</c:v>
                </c:pt>
                <c:pt idx="39">
                  <c:v>297933.6895558046</c:v>
                </c:pt>
                <c:pt idx="40">
                  <c:v>300797.26175958896</c:v>
                </c:pt>
                <c:pt idx="41">
                  <c:v>304654.4081938489</c:v>
                </c:pt>
                <c:pt idx="42">
                  <c:v>307923.2634301928</c:v>
                </c:pt>
                <c:pt idx="43">
                  <c:v>309743.86510366364</c:v>
                </c:pt>
                <c:pt idx="44">
                  <c:v>310857.6036700811</c:v>
                </c:pt>
                <c:pt idx="45">
                  <c:v>311587.1765725671</c:v>
                </c:pt>
                <c:pt idx="46">
                  <c:v>312090.6066511535</c:v>
                </c:pt>
                <c:pt idx="47">
                  <c:v>312452.4723921973</c:v>
                </c:pt>
                <c:pt idx="48">
                  <c:v>313317.68804986525</c:v>
                </c:pt>
                <c:pt idx="49">
                  <c:v>313627.3480385385</c:v>
                </c:pt>
                <c:pt idx="50">
                  <c:v>313863.7894690066</c:v>
                </c:pt>
                <c:pt idx="51">
                  <c:v>313967.25294292165</c:v>
                </c:pt>
                <c:pt idx="52">
                  <c:v>314037.76154672925</c:v>
                </c:pt>
                <c:pt idx="53">
                  <c:v>314100.04222756135</c:v>
                </c:pt>
                <c:pt idx="54">
                  <c:v>314162.5720542284</c:v>
                </c:pt>
                <c:pt idx="55">
                  <c:v>314228.8910387823</c:v>
                </c:pt>
                <c:pt idx="56">
                  <c:v>314300.6882001092</c:v>
                </c:pt>
                <c:pt idx="57">
                  <c:v>314378.8506107468</c:v>
                </c:pt>
                <c:pt idx="58">
                  <c:v>314877.1809513163</c:v>
                </c:pt>
                <c:pt idx="59">
                  <c:v>315564.4373148999</c:v>
                </c:pt>
                <c:pt idx="60">
                  <c:v>315699.8417993064</c:v>
                </c:pt>
                <c:pt idx="61">
                  <c:v>317513.38102006854</c:v>
                </c:pt>
                <c:pt idx="62">
                  <c:v>320219.7368352078</c:v>
                </c:pt>
                <c:pt idx="63">
                  <c:v>323665.4801325158</c:v>
                </c:pt>
                <c:pt idx="64">
                  <c:v>327827.5343510316</c:v>
                </c:pt>
                <c:pt idx="65">
                  <c:v>332679.0960310834</c:v>
                </c:pt>
                <c:pt idx="66">
                  <c:v>338190.5251156766</c:v>
                </c:pt>
                <c:pt idx="67">
                  <c:v>344330.1525377939</c:v>
                </c:pt>
                <c:pt idx="68">
                  <c:v>351065.02894370555</c:v>
                </c:pt>
                <c:pt idx="69">
                  <c:v>392502.7433221892</c:v>
                </c:pt>
                <c:pt idx="70">
                  <c:v>444066.20534359396</c:v>
                </c:pt>
                <c:pt idx="71">
                  <c:v>566075.6007864956</c:v>
                </c:pt>
                <c:pt idx="72">
                  <c:v>702130.3860243127</c:v>
                </c:pt>
                <c:pt idx="73">
                  <c:v>845476.9544786784</c:v>
                </c:pt>
                <c:pt idx="74">
                  <c:v>992962.3316570988</c:v>
                </c:pt>
                <c:pt idx="75">
                  <c:v>1142985.4828990775</c:v>
                </c:pt>
                <c:pt idx="76">
                  <c:v>1294664.4920062239</c:v>
                </c:pt>
                <c:pt idx="77">
                  <c:v>1447478.908456832</c:v>
                </c:pt>
                <c:pt idx="78">
                  <c:v>1601103.6646235853</c:v>
                </c:pt>
              </c:numCache>
            </c:numRef>
          </c:yVal>
          <c:smooth val="1"/>
        </c:ser>
        <c:ser>
          <c:idx val="2"/>
          <c:order val="1"/>
          <c:tx>
            <c:v>CLTF - V / m/s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Control!$AO$41:$AO$119</c:f>
              <c:numCache>
                <c:ptCount val="79"/>
                <c:pt idx="0">
                  <c:v>221.14252894373223</c:v>
                </c:pt>
                <c:pt idx="1">
                  <c:v>389.67657486756633</c:v>
                </c:pt>
                <c:pt idx="2">
                  <c:v>557.9996969550723</c:v>
                </c:pt>
                <c:pt idx="3">
                  <c:v>887.0046493102287</c:v>
                </c:pt>
                <c:pt idx="4">
                  <c:v>1208.9921219791759</c:v>
                </c:pt>
                <c:pt idx="5">
                  <c:v>1527.226213338766</c:v>
                </c:pt>
                <c:pt idx="6">
                  <c:v>1843.3455817709444</c:v>
                </c:pt>
                <c:pt idx="7">
                  <c:v>2158.1785813630063</c:v>
                </c:pt>
                <c:pt idx="8">
                  <c:v>2472.1760533180095</c:v>
                </c:pt>
                <c:pt idx="9">
                  <c:v>2785.601120542743</c:v>
                </c:pt>
                <c:pt idx="10">
                  <c:v>3098.616565102485</c:v>
                </c:pt>
                <c:pt idx="11">
                  <c:v>4660.2774613153015</c:v>
                </c:pt>
                <c:pt idx="12">
                  <c:v>6219.130212497423</c:v>
                </c:pt>
                <c:pt idx="13">
                  <c:v>9332.940306184792</c:v>
                </c:pt>
                <c:pt idx="14">
                  <c:v>12442.949319626885</c:v>
                </c:pt>
                <c:pt idx="15">
                  <c:v>15549.077273957715</c:v>
                </c:pt>
                <c:pt idx="16">
                  <c:v>18650.743534988065</c:v>
                </c:pt>
                <c:pt idx="17">
                  <c:v>21747.22817519387</c:v>
                </c:pt>
                <c:pt idx="18">
                  <c:v>24837.763558760045</c:v>
                </c:pt>
                <c:pt idx="19">
                  <c:v>27921.565643000024</c:v>
                </c:pt>
                <c:pt idx="20">
                  <c:v>30997.84713219018</c:v>
                </c:pt>
                <c:pt idx="21">
                  <c:v>34065.824004607886</c:v>
                </c:pt>
                <c:pt idx="22">
                  <c:v>37124.71925715305</c:v>
                </c:pt>
                <c:pt idx="23">
                  <c:v>40173.76534600076</c:v>
                </c:pt>
                <c:pt idx="24">
                  <c:v>43212.20595594784</c:v>
                </c:pt>
                <c:pt idx="25">
                  <c:v>46239.29739264798</c:v>
                </c:pt>
                <c:pt idx="26">
                  <c:v>61179.505842866034</c:v>
                </c:pt>
                <c:pt idx="27">
                  <c:v>89827.23843903092</c:v>
                </c:pt>
                <c:pt idx="28">
                  <c:v>116404.63816648646</c:v>
                </c:pt>
                <c:pt idx="29">
                  <c:v>140583.44810246633</c:v>
                </c:pt>
                <c:pt idx="30">
                  <c:v>162232.45086984563</c:v>
                </c:pt>
                <c:pt idx="31">
                  <c:v>181379.09455663513</c:v>
                </c:pt>
                <c:pt idx="32">
                  <c:v>198161.14811350676</c:v>
                </c:pt>
                <c:pt idx="33">
                  <c:v>212781.22794180547</c:v>
                </c:pt>
                <c:pt idx="34">
                  <c:v>225470.7555612869</c:v>
                </c:pt>
                <c:pt idx="35">
                  <c:v>267638.45140457194</c:v>
                </c:pt>
                <c:pt idx="36">
                  <c:v>276312.42787441716</c:v>
                </c:pt>
                <c:pt idx="37">
                  <c:v>288889.2253720852</c:v>
                </c:pt>
                <c:pt idx="38">
                  <c:v>300303.14217259927</c:v>
                </c:pt>
                <c:pt idx="39">
                  <c:v>306759.6323092035</c:v>
                </c:pt>
                <c:pt idx="40">
                  <c:v>309468.5400933758</c:v>
                </c:pt>
                <c:pt idx="41">
                  <c:v>312603.35649222945</c:v>
                </c:pt>
                <c:pt idx="42">
                  <c:v>314041.93890374113</c:v>
                </c:pt>
                <c:pt idx="43">
                  <c:v>313374.5996401877</c:v>
                </c:pt>
                <c:pt idx="44">
                  <c:v>311483.02470524464</c:v>
                </c:pt>
                <c:pt idx="45">
                  <c:v>308776.13364559034</c:v>
                </c:pt>
                <c:pt idx="46">
                  <c:v>305476.74398892355</c:v>
                </c:pt>
                <c:pt idx="47">
                  <c:v>301724.4281194456</c:v>
                </c:pt>
                <c:pt idx="48">
                  <c:v>278955.6784155798</c:v>
                </c:pt>
                <c:pt idx="49">
                  <c:v>253805.58324356013</c:v>
                </c:pt>
                <c:pt idx="50">
                  <c:v>207596.05878599014</c:v>
                </c:pt>
                <c:pt idx="51">
                  <c:v>171571.04745071675</c:v>
                </c:pt>
                <c:pt idx="52">
                  <c:v>144610.0468088507</c:v>
                </c:pt>
                <c:pt idx="53">
                  <c:v>124277.39832974212</c:v>
                </c:pt>
                <c:pt idx="54">
                  <c:v>108623.65469879947</c:v>
                </c:pt>
                <c:pt idx="55">
                  <c:v>96297.87910234343</c:v>
                </c:pt>
                <c:pt idx="56">
                  <c:v>86386.89496069368</c:v>
                </c:pt>
                <c:pt idx="57">
                  <c:v>78268.0088070978</c:v>
                </c:pt>
                <c:pt idx="58">
                  <c:v>53026.5451482169</c:v>
                </c:pt>
                <c:pt idx="59">
                  <c:v>39998.23009521482</c:v>
                </c:pt>
                <c:pt idx="60">
                  <c:v>38395.559765835365</c:v>
                </c:pt>
                <c:pt idx="61">
                  <c:v>26772.687741348123</c:v>
                </c:pt>
                <c:pt idx="62">
                  <c:v>20104.68669714084</c:v>
                </c:pt>
                <c:pt idx="63">
                  <c:v>16090.423197079863</c:v>
                </c:pt>
                <c:pt idx="64">
                  <c:v>13409.493321542837</c:v>
                </c:pt>
                <c:pt idx="65">
                  <c:v>11492.43527137786</c:v>
                </c:pt>
                <c:pt idx="66">
                  <c:v>10053.56346580924</c:v>
                </c:pt>
                <c:pt idx="67">
                  <c:v>8933.842628627948</c:v>
                </c:pt>
                <c:pt idx="68">
                  <c:v>8037.723216260128</c:v>
                </c:pt>
                <c:pt idx="69">
                  <c:v>5348.261665709869</c:v>
                </c:pt>
                <c:pt idx="70">
                  <c:v>4004.1749929555635</c:v>
                </c:pt>
                <c:pt idx="71">
                  <c:v>2662.9583736944232</c:v>
                </c:pt>
                <c:pt idx="72">
                  <c:v>1994.4904707161234</c:v>
                </c:pt>
                <c:pt idx="73">
                  <c:v>1594.3358424303758</c:v>
                </c:pt>
                <c:pt idx="74">
                  <c:v>1327.9739152251136</c:v>
                </c:pt>
                <c:pt idx="75">
                  <c:v>1137.9092553998266</c:v>
                </c:pt>
                <c:pt idx="76">
                  <c:v>995.4604013529917</c:v>
                </c:pt>
                <c:pt idx="77">
                  <c:v>884.7217000867336</c:v>
                </c:pt>
                <c:pt idx="78">
                  <c:v>796.1627429134008</c:v>
                </c:pt>
              </c:numCache>
            </c:numRef>
          </c:yVal>
          <c:smooth val="1"/>
        </c:ser>
        <c:ser>
          <c:idx val="1"/>
          <c:order val="2"/>
          <c:tx>
            <c:v>A - V / m/s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Control!$AD$41:$AD$119</c:f>
              <c:numCache>
                <c:ptCount val="79"/>
                <c:pt idx="0">
                  <c:v>31831.11591737772</c:v>
                </c:pt>
                <c:pt idx="1">
                  <c:v>47746.91256383648</c:v>
                </c:pt>
                <c:pt idx="2">
                  <c:v>63662.995640963556</c:v>
                </c:pt>
                <c:pt idx="3">
                  <c:v>95496.40303804765</c:v>
                </c:pt>
                <c:pt idx="4">
                  <c:v>127332.10209809546</c:v>
                </c:pt>
                <c:pt idx="5">
                  <c:v>159170.8569938588</c:v>
                </c:pt>
                <c:pt idx="6">
                  <c:v>191013.43214252396</c:v>
                </c:pt>
                <c:pt idx="7">
                  <c:v>222860.59226688996</c:v>
                </c:pt>
                <c:pt idx="8">
                  <c:v>254713.10245661158</c:v>
                </c:pt>
                <c:pt idx="9">
                  <c:v>286571.72822949133</c:v>
                </c:pt>
                <c:pt idx="10">
                  <c:v>318437.23559285584</c:v>
                </c:pt>
                <c:pt idx="11">
                  <c:v>477894.8485408188</c:v>
                </c:pt>
                <c:pt idx="12">
                  <c:v>637639.7916625459</c:v>
                </c:pt>
                <c:pt idx="13">
                  <c:v>958379.1308967845</c:v>
                </c:pt>
                <c:pt idx="14">
                  <c:v>1281439.104195867</c:v>
                </c:pt>
                <c:pt idx="15">
                  <c:v>1607622.4072729605</c:v>
                </c:pt>
                <c:pt idx="16">
                  <c:v>1937757.3608290749</c:v>
                </c:pt>
                <c:pt idx="17">
                  <c:v>2272705.1368763205</c:v>
                </c:pt>
                <c:pt idx="18">
                  <c:v>2613367.567248253</c:v>
                </c:pt>
                <c:pt idx="19">
                  <c:v>2960695.688297171</c:v>
                </c:pt>
                <c:pt idx="20">
                  <c:v>3315699.1990949735</c:v>
                </c:pt>
                <c:pt idx="21">
                  <c:v>3679457.040278331</c:v>
                </c:pt>
                <c:pt idx="22">
                  <c:v>4053129.3385328776</c:v>
                </c:pt>
                <c:pt idx="23">
                  <c:v>4437971.009607546</c:v>
                </c:pt>
                <c:pt idx="24">
                  <c:v>4835347.3733392935</c:v>
                </c:pt>
                <c:pt idx="25">
                  <c:v>5246752.210959224</c:v>
                </c:pt>
                <c:pt idx="26">
                  <c:v>7578463.127220066</c:v>
                </c:pt>
                <c:pt idx="27">
                  <c:v>14918153.813578032</c:v>
                </c:pt>
                <c:pt idx="28">
                  <c:v>35332885.67025494</c:v>
                </c:pt>
                <c:pt idx="29">
                  <c:v>795774715.4594754</c:v>
                </c:pt>
                <c:pt idx="30">
                  <c:v>43341466.54694002</c:v>
                </c:pt>
                <c:pt idx="31">
                  <c:v>23200229.812066182</c:v>
                </c:pt>
                <c:pt idx="32">
                  <c:v>16320150.705696408</c:v>
                </c:pt>
                <c:pt idx="33">
                  <c:v>12787585.147177977</c:v>
                </c:pt>
                <c:pt idx="34">
                  <c:v>10609386.524789607</c:v>
                </c:pt>
                <c:pt idx="35">
                  <c:v>5968142.51429824</c:v>
                </c:pt>
                <c:pt idx="36">
                  <c:v>5246752.210959236</c:v>
                </c:pt>
                <c:pt idx="37">
                  <c:v>4244071.456085728</c:v>
                </c:pt>
                <c:pt idx="38">
                  <c:v>3315699.1990949805</c:v>
                </c:pt>
                <c:pt idx="39">
                  <c:v>2728354.4170087553</c:v>
                </c:pt>
                <c:pt idx="40">
                  <c:v>2442263.842193096</c:v>
                </c:pt>
                <c:pt idx="41">
                  <c:v>2021008.632643671</c:v>
                </c:pt>
                <c:pt idx="42">
                  <c:v>1607622.4072729608</c:v>
                </c:pt>
                <c:pt idx="43">
                  <c:v>1335564.0750330582</c:v>
                </c:pt>
                <c:pt idx="44">
                  <c:v>1142649.695522486</c:v>
                </c:pt>
                <c:pt idx="45">
                  <c:v>998618.4644713248</c:v>
                </c:pt>
                <c:pt idx="46">
                  <c:v>886931.0205265633</c:v>
                </c:pt>
                <c:pt idx="47">
                  <c:v>797768.7374190451</c:v>
                </c:pt>
                <c:pt idx="48">
                  <c:v>531106.4771259718</c:v>
                </c:pt>
                <c:pt idx="49">
                  <c:v>398136.1430209873</c:v>
                </c:pt>
                <c:pt idx="50">
                  <c:v>265331.92705480504</c:v>
                </c:pt>
                <c:pt idx="51">
                  <c:v>198974.76245256944</c:v>
                </c:pt>
                <c:pt idx="52">
                  <c:v>159170.85699385943</c:v>
                </c:pt>
                <c:pt idx="53">
                  <c:v>132638.3283959468</c:v>
                </c:pt>
                <c:pt idx="54">
                  <c:v>113687.90145149245</c:v>
                </c:pt>
                <c:pt idx="55">
                  <c:v>99475.72442573562</c:v>
                </c:pt>
                <c:pt idx="56">
                  <c:v>88422.14136143534</c:v>
                </c:pt>
                <c:pt idx="57">
                  <c:v>79579.46063455602</c:v>
                </c:pt>
                <c:pt idx="58">
                  <c:v>53052.23704870368</c:v>
                </c:pt>
                <c:pt idx="59">
                  <c:v>39788.9844043899</c:v>
                </c:pt>
                <c:pt idx="60">
                  <c:v>38172.36495537834</c:v>
                </c:pt>
                <c:pt idx="61">
                  <c:v>26525.897516961322</c:v>
                </c:pt>
                <c:pt idx="62">
                  <c:v>19894.39896526832</c:v>
                </c:pt>
                <c:pt idx="63">
                  <c:v>15915.510221516623</c:v>
                </c:pt>
                <c:pt idx="64">
                  <c:v>13262.921132844433</c:v>
                </c:pt>
                <c:pt idx="65">
                  <c:v>11368.216019799918</c:v>
                </c:pt>
                <c:pt idx="66">
                  <c:v>9947.187828086591</c:v>
                </c:pt>
                <c:pt idx="67">
                  <c:v>8841.944011332367</c:v>
                </c:pt>
                <c:pt idx="68">
                  <c:v>7957.7491436341725</c:v>
                </c:pt>
                <c:pt idx="69">
                  <c:v>5305.165359074767</c:v>
                </c:pt>
                <c:pt idx="70">
                  <c:v>3978.873825927277</c:v>
                </c:pt>
                <c:pt idx="71">
                  <c:v>2652.5824585330247</c:v>
                </c:pt>
                <c:pt idx="72">
                  <c:v>1989.4368197274214</c:v>
                </c:pt>
                <c:pt idx="73">
                  <c:v>1591.5494468312654</c:v>
                </c:pt>
                <c:pt idx="74">
                  <c:v>1326.2912016409696</c:v>
                </c:pt>
                <c:pt idx="75">
                  <c:v>1136.8210278839183</c:v>
                </c:pt>
                <c:pt idx="76">
                  <c:v>994.718398209187</c:v>
                </c:pt>
                <c:pt idx="77">
                  <c:v>884.1941310167554</c:v>
                </c:pt>
                <c:pt idx="78">
                  <c:v>795.7747174485139</c:v>
                </c:pt>
              </c:numCache>
            </c:numRef>
          </c:yVal>
          <c:smooth val="1"/>
        </c:ser>
        <c:ser>
          <c:idx val="3"/>
          <c:order val="3"/>
          <c:tx>
            <c:v>Loop Gain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Control!$AF$41:$AF$119</c:f>
              <c:numCache>
                <c:ptCount val="79"/>
                <c:pt idx="0">
                  <c:v>143.23014491018392</c:v>
                </c:pt>
                <c:pt idx="1">
                  <c:v>121.69573124248686</c:v>
                </c:pt>
                <c:pt idx="2">
                  <c:v>113.19546731729682</c:v>
                </c:pt>
                <c:pt idx="3">
                  <c:v>106.71171569436068</c:v>
                </c:pt>
                <c:pt idx="4">
                  <c:v>104.34958688466229</c:v>
                </c:pt>
                <c:pt idx="5">
                  <c:v>103.24053654193658</c:v>
                </c:pt>
                <c:pt idx="6">
                  <c:v>102.63581333244211</c:v>
                </c:pt>
                <c:pt idx="7">
                  <c:v>102.27232915146922</c:v>
                </c:pt>
                <c:pt idx="8">
                  <c:v>102.03868944088964</c:v>
                </c:pt>
                <c:pt idx="9">
                  <c:v>101.88124065759166</c:v>
                </c:pt>
                <c:pt idx="10">
                  <c:v>101.77157296233919</c:v>
                </c:pt>
                <c:pt idx="11">
                  <c:v>101.54778681807598</c:v>
                </c:pt>
                <c:pt idx="12">
                  <c:v>101.52924271916214</c:v>
                </c:pt>
                <c:pt idx="13">
                  <c:v>101.68781269391265</c:v>
                </c:pt>
                <c:pt idx="14">
                  <c:v>101.98524695833075</c:v>
                </c:pt>
                <c:pt idx="15">
                  <c:v>102.39060011431528</c:v>
                </c:pt>
                <c:pt idx="16">
                  <c:v>102.89788389478943</c:v>
                </c:pt>
                <c:pt idx="17">
                  <c:v>103.50688870999674</c:v>
                </c:pt>
                <c:pt idx="18">
                  <c:v>104.2195423060699</c:v>
                </c:pt>
                <c:pt idx="19">
                  <c:v>105.0389481701401</c:v>
                </c:pt>
                <c:pt idx="20">
                  <c:v>105.96909366937597</c:v>
                </c:pt>
                <c:pt idx="21">
                  <c:v>107.01477356130636</c:v>
                </c:pt>
                <c:pt idx="22">
                  <c:v>108.18159984452069</c:v>
                </c:pt>
                <c:pt idx="23">
                  <c:v>109.47605568650422</c:v>
                </c:pt>
                <c:pt idx="24">
                  <c:v>110.90557886335063</c:v>
                </c:pt>
                <c:pt idx="25">
                  <c:v>112.4786704850175</c:v>
                </c:pt>
                <c:pt idx="26">
                  <c:v>122.88915254950601</c:v>
                </c:pt>
                <c:pt idx="27">
                  <c:v>165.1119780932948</c:v>
                </c:pt>
                <c:pt idx="28">
                  <c:v>302.59008671896026</c:v>
                </c:pt>
                <c:pt idx="29">
                  <c:v>5660.069184013635</c:v>
                </c:pt>
                <c:pt idx="30">
                  <c:v>267.9849227213409</c:v>
                </c:pt>
                <c:pt idx="31">
                  <c:v>128.7115807006107</c:v>
                </c:pt>
                <c:pt idx="32">
                  <c:v>83.12396957964908</c:v>
                </c:pt>
                <c:pt idx="33">
                  <c:v>60.82649055684149</c:v>
                </c:pt>
                <c:pt idx="34">
                  <c:v>47.74708667968838</c:v>
                </c:pt>
                <c:pt idx="35">
                  <c:v>22.832653291420364</c:v>
                </c:pt>
                <c:pt idx="36">
                  <c:v>19.47846582340319</c:v>
                </c:pt>
                <c:pt idx="37">
                  <c:v>15.106870273508278</c:v>
                </c:pt>
                <c:pt idx="38">
                  <c:v>11.370543250837455</c:v>
                </c:pt>
                <c:pt idx="39">
                  <c:v>9.157589465885897</c:v>
                </c:pt>
                <c:pt idx="40">
                  <c:v>8.119302110353205</c:v>
                </c:pt>
                <c:pt idx="41">
                  <c:v>6.633774461447215</c:v>
                </c:pt>
                <c:pt idx="42">
                  <c:v>5.22085401851236</c:v>
                </c:pt>
                <c:pt idx="43">
                  <c:v>4.311833826268289</c:v>
                </c:pt>
                <c:pt idx="44">
                  <c:v>3.6757977994812108</c:v>
                </c:pt>
                <c:pt idx="45">
                  <c:v>3.2049408305439413</c:v>
                </c:pt>
                <c:pt idx="46">
                  <c:v>2.8419023245962403</c:v>
                </c:pt>
                <c:pt idx="47">
                  <c:v>2.553248279045998</c:v>
                </c:pt>
                <c:pt idx="48">
                  <c:v>1.6951053112630083</c:v>
                </c:pt>
                <c:pt idx="49">
                  <c:v>1.2694560774466155</c:v>
                </c:pt>
                <c:pt idx="50">
                  <c:v>0.8453728526750172</c:v>
                </c:pt>
                <c:pt idx="51">
                  <c:v>0.633743680551113</c:v>
                </c:pt>
                <c:pt idx="52">
                  <c:v>0.5068526033617607</c:v>
                </c:pt>
                <c:pt idx="53">
                  <c:v>0.4222805175551423</c:v>
                </c:pt>
                <c:pt idx="54">
                  <c:v>0.36187602077522013</c:v>
                </c:pt>
                <c:pt idx="55">
                  <c:v>0.3165709050395955</c:v>
                </c:pt>
                <c:pt idx="56">
                  <c:v>0.281329773306569</c:v>
                </c:pt>
                <c:pt idx="57">
                  <c:v>0.25313236078049245</c:v>
                </c:pt>
                <c:pt idx="58">
                  <c:v>0.16848549294178944</c:v>
                </c:pt>
                <c:pt idx="59">
                  <c:v>0.12608830305135008</c:v>
                </c:pt>
                <c:pt idx="60">
                  <c:v>0.12091347508385845</c:v>
                </c:pt>
                <c:pt idx="61">
                  <c:v>0.08354261301285043</c:v>
                </c:pt>
                <c:pt idx="62">
                  <c:v>0.06212733531633131</c:v>
                </c:pt>
                <c:pt idx="63">
                  <c:v>0.04917271441798633</c:v>
                </c:pt>
                <c:pt idx="64">
                  <c:v>0.04045700785658452</c:v>
                </c:pt>
                <c:pt idx="65">
                  <c:v>0.0341717172958103</c:v>
                </c:pt>
                <c:pt idx="66">
                  <c:v>0.029412970173201013</c:v>
                </c:pt>
                <c:pt idx="67">
                  <c:v>0.02567868060977278</c:v>
                </c:pt>
                <c:pt idx="68">
                  <c:v>0.02266745043668315</c:v>
                </c:pt>
                <c:pt idx="69">
                  <c:v>0.01351625039400038</c:v>
                </c:pt>
                <c:pt idx="70">
                  <c:v>0.008960091486467973</c:v>
                </c:pt>
                <c:pt idx="71">
                  <c:v>0.0046859155470533875</c:v>
                </c:pt>
                <c:pt idx="72">
                  <c:v>0.002833429316443991</c:v>
                </c:pt>
                <c:pt idx="73">
                  <c:v>0.0018824279460255867</c:v>
                </c:pt>
                <c:pt idx="74">
                  <c:v>0.0013356913544017252</c:v>
                </c:pt>
                <c:pt idx="75">
                  <c:v>0.0009946067075151967</c:v>
                </c:pt>
                <c:pt idx="76">
                  <c:v>0.0007683213715607217</c:v>
                </c:pt>
                <c:pt idx="77">
                  <c:v>0.0006108511328565062</c:v>
                </c:pt>
                <c:pt idx="78">
                  <c:v>0.0004970163612957553</c:v>
                </c:pt>
              </c:numCache>
            </c:numRef>
          </c:yVal>
          <c:smooth val="1"/>
        </c:ser>
        <c:ser>
          <c:idx val="4"/>
          <c:order val="4"/>
          <c:tx>
            <c:v>A-1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Control!$A$75:$A$91</c:f>
              <c:numCache>
                <c:ptCount val="17"/>
                <c:pt idx="0">
                  <c:v>100</c:v>
                </c:pt>
                <c:pt idx="1">
                  <c:v>150</c:v>
                </c:pt>
                <c:pt idx="2">
                  <c:v>166.66666666666663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333.333333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1500</c:v>
                </c:pt>
                <c:pt idx="15">
                  <c:v>2000</c:v>
                </c:pt>
                <c:pt idx="16">
                  <c:v>3000</c:v>
                </c:pt>
              </c:numCache>
            </c:numRef>
          </c:xVal>
          <c:yVal>
            <c:numRef>
              <c:f>Control!$AT$75:$AT$91</c:f>
              <c:numCache>
                <c:ptCount val="17"/>
                <c:pt idx="0">
                  <c:v>500000.0000000001</c:v>
                </c:pt>
                <c:pt idx="1">
                  <c:v>750000.0000000001</c:v>
                </c:pt>
                <c:pt idx="2">
                  <c:v>833333.3333333333</c:v>
                </c:pt>
                <c:pt idx="3">
                  <c:v>1000000.0000000002</c:v>
                </c:pt>
                <c:pt idx="4">
                  <c:v>1250000</c:v>
                </c:pt>
                <c:pt idx="5">
                  <c:v>1500000.0000000002</c:v>
                </c:pt>
                <c:pt idx="6">
                  <c:v>1666666.6649999998</c:v>
                </c:pt>
                <c:pt idx="7">
                  <c:v>2000000.0000000005</c:v>
                </c:pt>
                <c:pt idx="8">
                  <c:v>2500000</c:v>
                </c:pt>
                <c:pt idx="9">
                  <c:v>3000000.0000000005</c:v>
                </c:pt>
                <c:pt idx="10">
                  <c:v>3500000</c:v>
                </c:pt>
                <c:pt idx="11">
                  <c:v>4000000.000000001</c:v>
                </c:pt>
                <c:pt idx="12">
                  <c:v>4500000</c:v>
                </c:pt>
                <c:pt idx="13">
                  <c:v>5000000</c:v>
                </c:pt>
                <c:pt idx="14">
                  <c:v>7500000.000000001</c:v>
                </c:pt>
                <c:pt idx="15">
                  <c:v>10000000</c:v>
                </c:pt>
                <c:pt idx="16">
                  <c:v>15000000.000000002</c:v>
                </c:pt>
              </c:numCache>
            </c:numRef>
          </c:yVal>
          <c:smooth val="1"/>
        </c:ser>
        <c:ser>
          <c:idx val="5"/>
          <c:order val="5"/>
          <c:tx>
            <c:v>A-2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Control!$A$73:$A$91</c:f>
              <c:numCache>
                <c:ptCount val="19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150</c:v>
                </c:pt>
                <c:pt idx="4">
                  <c:v>166.66666666666663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333.333333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  <c:pt idx="15">
                  <c:v>1000</c:v>
                </c:pt>
                <c:pt idx="16">
                  <c:v>1500</c:v>
                </c:pt>
                <c:pt idx="17">
                  <c:v>2000</c:v>
                </c:pt>
                <c:pt idx="18">
                  <c:v>3000</c:v>
                </c:pt>
              </c:numCache>
            </c:numRef>
          </c:xVal>
          <c:yVal>
            <c:numRef>
              <c:f>Control!$AU$73:$AU$91</c:f>
              <c:numCache>
                <c:ptCount val="19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</c:numCache>
            </c:numRef>
          </c:yVal>
          <c:smooth val="1"/>
        </c:ser>
        <c:ser>
          <c:idx val="6"/>
          <c:order val="6"/>
          <c:tx>
            <c:v>A-3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Control!$A$51:$A$88</c:f>
              <c:numCach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40</c:v>
                </c:pt>
                <c:pt idx="19">
                  <c:v>50</c:v>
                </c:pt>
                <c:pt idx="20">
                  <c:v>60</c:v>
                </c:pt>
                <c:pt idx="21">
                  <c:v>70</c:v>
                </c:pt>
                <c:pt idx="22">
                  <c:v>80</c:v>
                </c:pt>
                <c:pt idx="23">
                  <c:v>90</c:v>
                </c:pt>
                <c:pt idx="24">
                  <c:v>100</c:v>
                </c:pt>
                <c:pt idx="25">
                  <c:v>150</c:v>
                </c:pt>
                <c:pt idx="26">
                  <c:v>166.66666666666663</c:v>
                </c:pt>
                <c:pt idx="27">
                  <c:v>200</c:v>
                </c:pt>
                <c:pt idx="28">
                  <c:v>250</c:v>
                </c:pt>
                <c:pt idx="29">
                  <c:v>300</c:v>
                </c:pt>
                <c:pt idx="30">
                  <c:v>333.333333</c:v>
                </c:pt>
                <c:pt idx="31">
                  <c:v>400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</c:numCache>
            </c:numRef>
          </c:xVal>
          <c:yVal>
            <c:numRef>
              <c:f>Control!$AV$51:$AV$88</c:f>
              <c:numCache>
                <c:ptCount val="38"/>
                <c:pt idx="0">
                  <c:v>50000.00000000001</c:v>
                </c:pt>
                <c:pt idx="1">
                  <c:v>33333.333333333336</c:v>
                </c:pt>
                <c:pt idx="2">
                  <c:v>25000.000000000004</c:v>
                </c:pt>
                <c:pt idx="3">
                  <c:v>16666.666666666668</c:v>
                </c:pt>
                <c:pt idx="4">
                  <c:v>12500.000000000002</c:v>
                </c:pt>
                <c:pt idx="5">
                  <c:v>10000</c:v>
                </c:pt>
                <c:pt idx="6">
                  <c:v>8333.333333333334</c:v>
                </c:pt>
                <c:pt idx="7">
                  <c:v>7142.857142857144</c:v>
                </c:pt>
                <c:pt idx="8">
                  <c:v>6250.000000000001</c:v>
                </c:pt>
                <c:pt idx="9">
                  <c:v>5555.555555555555</c:v>
                </c:pt>
                <c:pt idx="10">
                  <c:v>5000</c:v>
                </c:pt>
                <c:pt idx="11">
                  <c:v>4545.454545454546</c:v>
                </c:pt>
                <c:pt idx="12">
                  <c:v>4166.666666666667</c:v>
                </c:pt>
                <c:pt idx="13">
                  <c:v>3846.153846153846</c:v>
                </c:pt>
                <c:pt idx="14">
                  <c:v>3571.428571428572</c:v>
                </c:pt>
                <c:pt idx="15">
                  <c:v>3333.3333333333335</c:v>
                </c:pt>
                <c:pt idx="16">
                  <c:v>2500</c:v>
                </c:pt>
                <c:pt idx="17">
                  <c:v>1666.6666666666667</c:v>
                </c:pt>
                <c:pt idx="18">
                  <c:v>1250</c:v>
                </c:pt>
                <c:pt idx="19">
                  <c:v>1000.0000000000001</c:v>
                </c:pt>
                <c:pt idx="20">
                  <c:v>833.3333333333334</c:v>
                </c:pt>
                <c:pt idx="21">
                  <c:v>714.2857142857142</c:v>
                </c:pt>
                <c:pt idx="22">
                  <c:v>625</c:v>
                </c:pt>
                <c:pt idx="23">
                  <c:v>555.5555555555555</c:v>
                </c:pt>
                <c:pt idx="24">
                  <c:v>500.00000000000006</c:v>
                </c:pt>
                <c:pt idx="25">
                  <c:v>333.3333333333333</c:v>
                </c:pt>
                <c:pt idx="26">
                  <c:v>300.00000000000006</c:v>
                </c:pt>
                <c:pt idx="27">
                  <c:v>250.00000000000003</c:v>
                </c:pt>
                <c:pt idx="28">
                  <c:v>200.00000000000003</c:v>
                </c:pt>
                <c:pt idx="29">
                  <c:v>166.66666666666666</c:v>
                </c:pt>
                <c:pt idx="30">
                  <c:v>150.00000015000003</c:v>
                </c:pt>
                <c:pt idx="31">
                  <c:v>125.00000000000001</c:v>
                </c:pt>
                <c:pt idx="32">
                  <c:v>100.00000000000001</c:v>
                </c:pt>
                <c:pt idx="33">
                  <c:v>83.33333333333333</c:v>
                </c:pt>
                <c:pt idx="34">
                  <c:v>71.42857142857143</c:v>
                </c:pt>
                <c:pt idx="35">
                  <c:v>62.50000000000001</c:v>
                </c:pt>
                <c:pt idx="36">
                  <c:v>55.555555555555564</c:v>
                </c:pt>
                <c:pt idx="37">
                  <c:v>50.00000000000001</c:v>
                </c:pt>
              </c:numCache>
            </c:numRef>
          </c:yVal>
          <c:smooth val="1"/>
        </c:ser>
        <c:ser>
          <c:idx val="7"/>
          <c:order val="7"/>
          <c:tx>
            <c:v>A-4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Control!$A$51:$A$75</c:f>
              <c:numCache>
                <c:ptCount val="2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40</c:v>
                </c:pt>
                <c:pt idx="19">
                  <c:v>50</c:v>
                </c:pt>
                <c:pt idx="20">
                  <c:v>60</c:v>
                </c:pt>
                <c:pt idx="21">
                  <c:v>70</c:v>
                </c:pt>
                <c:pt idx="22">
                  <c:v>80</c:v>
                </c:pt>
                <c:pt idx="23">
                  <c:v>90</c:v>
                </c:pt>
                <c:pt idx="24">
                  <c:v>100</c:v>
                </c:pt>
              </c:numCache>
            </c:numRef>
          </c:xVal>
          <c:yVal>
            <c:numRef>
              <c:f>Control!#REF!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v>A-5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Control!$A$41:$A$68</c:f>
              <c:numCache>
                <c:ptCount val="28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</c:numCache>
            </c:numRef>
          </c:xVal>
          <c:yVal>
            <c:numRef>
              <c:f>Control!#REF!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A-5a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Control!$A$111:$A$119</c:f>
              <c:numCache>
                <c:ptCount val="9"/>
                <c:pt idx="0">
                  <c:v>200000</c:v>
                </c:pt>
                <c:pt idx="1">
                  <c:v>300000</c:v>
                </c:pt>
                <c:pt idx="2">
                  <c:v>400000</c:v>
                </c:pt>
                <c:pt idx="3">
                  <c:v>500000</c:v>
                </c:pt>
                <c:pt idx="4">
                  <c:v>600000</c:v>
                </c:pt>
                <c:pt idx="5">
                  <c:v>700000</c:v>
                </c:pt>
                <c:pt idx="6">
                  <c:v>800000</c:v>
                </c:pt>
                <c:pt idx="7">
                  <c:v>900000</c:v>
                </c:pt>
                <c:pt idx="8">
                  <c:v>1000000</c:v>
                </c:pt>
              </c:numCache>
            </c:numRef>
          </c:xVal>
          <c:yVal>
            <c:numRef>
              <c:f>Control!#REF!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2288215"/>
        <c:axId val="43290776"/>
      </c:scatterChart>
      <c:valAx>
        <c:axId val="522882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290776"/>
        <c:crossesAt val="0.01"/>
        <c:crossBetween val="midCat"/>
        <c:dispUnits/>
      </c:valAx>
      <c:valAx>
        <c:axId val="43290776"/>
        <c:scaling>
          <c:logBase val="10"/>
          <c:orientation val="minMax"/>
          <c:max val="1000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288215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Displacement Response - V/m</a:t>
            </a:r>
          </a:p>
        </c:rich>
      </c:tx>
      <c:layout>
        <c:manualLayout>
          <c:xMode val="factor"/>
          <c:yMode val="factor"/>
          <c:x val="0.03675"/>
          <c:y val="-0.007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4625"/>
          <c:y val="0.06225"/>
          <c:w val="0.93775"/>
          <c:h val="0.89625"/>
        </c:manualLayout>
      </c:layout>
      <c:scatterChart>
        <c:scatterStyle val="line"/>
        <c:varyColors val="0"/>
        <c:ser>
          <c:idx val="1"/>
          <c:order val="0"/>
          <c:tx>
            <c:v>1/B - V/m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Control!$R$21:$R$119</c:f>
              <c:numCache>
                <c:ptCount val="99"/>
                <c:pt idx="0">
                  <c:v>0.00019737582585968087</c:v>
                </c:pt>
                <c:pt idx="1">
                  <c:v>0.0006660550248361437</c:v>
                </c:pt>
                <c:pt idx="2">
                  <c:v>0.0015786204470595196</c:v>
                </c:pt>
                <c:pt idx="3">
                  <c:v>0.005326422470562995</c:v>
                </c:pt>
                <c:pt idx="4">
                  <c:v>0.012621113844026383</c:v>
                </c:pt>
                <c:pt idx="5">
                  <c:v>0.024639500757759718</c:v>
                </c:pt>
                <c:pt idx="6">
                  <c:v>0.04255370557309577</c:v>
                </c:pt>
                <c:pt idx="7">
                  <c:v>0.06753002334500215</c:v>
                </c:pt>
                <c:pt idx="8">
                  <c:v>0.1007277964246985</c:v>
                </c:pt>
                <c:pt idx="9">
                  <c:v>0.14329831052144038</c:v>
                </c:pt>
                <c:pt idx="10">
                  <c:v>0.19638371547714098</c:v>
                </c:pt>
                <c:pt idx="11">
                  <c:v>0.6587400434056391</c:v>
                </c:pt>
                <c:pt idx="12">
                  <c:v>1.5482940255566209</c:v>
                </c:pt>
                <c:pt idx="13">
                  <c:v>5.104494717037139</c:v>
                </c:pt>
                <c:pt idx="14">
                  <c:v>11.729542188172584</c:v>
                </c:pt>
                <c:pt idx="15">
                  <c:v>22.070710764172688</c:v>
                </c:pt>
                <c:pt idx="16">
                  <c:v>36.56606060212332</c:v>
                </c:pt>
                <c:pt idx="17">
                  <c:v>55.47881205543468</c:v>
                </c:pt>
                <c:pt idx="18">
                  <c:v>78.94145024749058</c:v>
                </c:pt>
                <c:pt idx="19">
                  <c:v>106.99762254242933</c:v>
                </c:pt>
                <c:pt idx="20">
                  <c:v>139.6359683700753</c:v>
                </c:pt>
                <c:pt idx="21">
                  <c:v>369.7780066991544</c:v>
                </c:pt>
                <c:pt idx="22">
                  <c:v>706.7533856299857</c:v>
                </c:pt>
                <c:pt idx="23">
                  <c:v>1686.8483255645078</c:v>
                </c:pt>
                <c:pt idx="24">
                  <c:v>3066.8111563080342</c:v>
                </c:pt>
                <c:pt idx="25">
                  <c:v>4843.543163826691</c:v>
                </c:pt>
                <c:pt idx="26">
                  <c:v>7016.105302879611</c:v>
                </c:pt>
                <c:pt idx="27">
                  <c:v>9584.137638683898</c:v>
                </c:pt>
                <c:pt idx="28">
                  <c:v>12547.472976540912</c:v>
                </c:pt>
                <c:pt idx="29">
                  <c:v>15906.018954799565</c:v>
                </c:pt>
                <c:pt idx="30">
                  <c:v>19659.715396914493</c:v>
                </c:pt>
                <c:pt idx="31">
                  <c:v>44354.02264513949</c:v>
                </c:pt>
                <c:pt idx="32">
                  <c:v>78921.28145443181</c:v>
                </c:pt>
                <c:pt idx="33">
                  <c:v>177651.7809095923</c:v>
                </c:pt>
                <c:pt idx="34">
                  <c:v>315791.5322720554</c:v>
                </c:pt>
                <c:pt idx="35">
                  <c:v>493257.6563470091</c:v>
                </c:pt>
                <c:pt idx="36">
                  <c:v>709943.962942288</c:v>
                </c:pt>
                <c:pt idx="37">
                  <c:v>965721.1603091704</c:v>
                </c:pt>
                <c:pt idx="38">
                  <c:v>1260437.1377929233</c:v>
                </c:pt>
                <c:pt idx="39">
                  <c:v>1593917.3015942492</c:v>
                </c:pt>
                <c:pt idx="40">
                  <c:v>1965964.959158767</c:v>
                </c:pt>
                <c:pt idx="41">
                  <c:v>2376361.749781611</c:v>
                </c:pt>
                <c:pt idx="42">
                  <c:v>2824868.11929965</c:v>
                </c:pt>
                <c:pt idx="43">
                  <c:v>3311223.8366932906</c:v>
                </c:pt>
                <c:pt idx="44">
                  <c:v>3835148.5502989795</c:v>
                </c:pt>
                <c:pt idx="45">
                  <c:v>4396342.381203143</c:v>
                </c:pt>
                <c:pt idx="46">
                  <c:v>7749567.343263913</c:v>
                </c:pt>
                <c:pt idx="47">
                  <c:v>17030900.955972183</c:v>
                </c:pt>
                <c:pt idx="48">
                  <c:v>29347037.837335944</c:v>
                </c:pt>
                <c:pt idx="49">
                  <c:v>44169071.41455132</c:v>
                </c:pt>
                <c:pt idx="50">
                  <c:v>60971146.36912276</c:v>
                </c:pt>
                <c:pt idx="51">
                  <c:v>79277979.18371047</c:v>
                </c:pt>
                <c:pt idx="52">
                  <c:v>98688772.101272</c:v>
                </c:pt>
                <c:pt idx="53">
                  <c:v>118882562.08432128</c:v>
                </c:pt>
                <c:pt idx="54">
                  <c:v>139612165.1943733</c:v>
                </c:pt>
                <c:pt idx="55">
                  <c:v>246350773.68176427</c:v>
                </c:pt>
                <c:pt idx="56">
                  <c:v>282074888.0771912</c:v>
                </c:pt>
                <c:pt idx="57">
                  <c:v>353035234.0717543</c:v>
                </c:pt>
                <c:pt idx="58">
                  <c:v>458050948.6485257</c:v>
                </c:pt>
                <c:pt idx="59">
                  <c:v>561591774.2192507</c:v>
                </c:pt>
                <c:pt idx="60">
                  <c:v>629988311.2125788</c:v>
                </c:pt>
                <c:pt idx="61">
                  <c:v>765680040.5324335</c:v>
                </c:pt>
                <c:pt idx="62">
                  <c:v>967369462.2616881</c:v>
                </c:pt>
                <c:pt idx="63">
                  <c:v>1167706861.3250132</c:v>
                </c:pt>
                <c:pt idx="64">
                  <c:v>1367223149.603436</c:v>
                </c:pt>
                <c:pt idx="65">
                  <c:v>1566207975.79706</c:v>
                </c:pt>
                <c:pt idx="66">
                  <c:v>1764830802.797362</c:v>
                </c:pt>
                <c:pt idx="67">
                  <c:v>1963196783.7265892</c:v>
                </c:pt>
                <c:pt idx="68">
                  <c:v>2952949641.0515857</c:v>
                </c:pt>
                <c:pt idx="69">
                  <c:v>3941157490.2508864</c:v>
                </c:pt>
                <c:pt idx="70">
                  <c:v>5916193051.342108</c:v>
                </c:pt>
                <c:pt idx="71">
                  <c:v>7890857722.506007</c:v>
                </c:pt>
                <c:pt idx="72">
                  <c:v>9865787246.249878</c:v>
                </c:pt>
                <c:pt idx="73">
                  <c:v>11841292621.852207</c:v>
                </c:pt>
                <c:pt idx="74">
                  <c:v>13817591597.57813</c:v>
                </c:pt>
                <c:pt idx="75">
                  <c:v>15794866810.129696</c:v>
                </c:pt>
                <c:pt idx="76">
                  <c:v>17773285195.218227</c:v>
                </c:pt>
                <c:pt idx="77">
                  <c:v>19753005750.454506</c:v>
                </c:pt>
                <c:pt idx="78">
                  <c:v>29676475153.79158</c:v>
                </c:pt>
                <c:pt idx="79">
                  <c:v>39654996720.10745</c:v>
                </c:pt>
                <c:pt idx="80">
                  <c:v>41352121863.975494</c:v>
                </c:pt>
                <c:pt idx="81">
                  <c:v>59849862313.746254</c:v>
                </c:pt>
                <c:pt idx="82">
                  <c:v>80479997822.07565</c:v>
                </c:pt>
                <c:pt idx="83">
                  <c:v>101682509460.49246</c:v>
                </c:pt>
                <c:pt idx="84">
                  <c:v>123588068827.39877</c:v>
                </c:pt>
                <c:pt idx="85">
                  <c:v>146319908573.18027</c:v>
                </c:pt>
                <c:pt idx="86">
                  <c:v>169993099074.73343</c:v>
                </c:pt>
                <c:pt idx="87">
                  <c:v>194714113971.99353</c:v>
                </c:pt>
                <c:pt idx="88">
                  <c:v>220580663172.36667</c:v>
                </c:pt>
                <c:pt idx="89">
                  <c:v>369925120480.4489</c:v>
                </c:pt>
                <c:pt idx="90">
                  <c:v>558030051365.9725</c:v>
                </c:pt>
                <c:pt idx="91">
                  <c:v>1067027369284.3699</c:v>
                </c:pt>
                <c:pt idx="92">
                  <c:v>1764646130076.917</c:v>
                </c:pt>
                <c:pt idx="93">
                  <c:v>2656144188969.688</c:v>
                </c:pt>
                <c:pt idx="94">
                  <c:v>3743379799710.4</c:v>
                </c:pt>
                <c:pt idx="95">
                  <c:v>5027112714729.733</c:v>
                </c:pt>
                <c:pt idx="96">
                  <c:v>6507693531120.503</c:v>
                </c:pt>
                <c:pt idx="97">
                  <c:v>8185300389061.48</c:v>
                </c:pt>
                <c:pt idx="98">
                  <c:v>10060031020834.303</c:v>
                </c:pt>
              </c:numCache>
            </c:numRef>
          </c:yVal>
          <c:smooth val="0"/>
        </c:ser>
        <c:ser>
          <c:idx val="5"/>
          <c:order val="1"/>
          <c:tx>
            <c:v>Disp Resp - V/m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Control!$AQ$21:$AQ$119</c:f>
              <c:numCache>
                <c:ptCount val="99"/>
                <c:pt idx="0">
                  <c:v>0.0001973753202305863</c:v>
                </c:pt>
                <c:pt idx="1">
                  <c:v>0.0006660524934984612</c:v>
                </c:pt>
                <c:pt idx="2">
                  <c:v>0.0015786117106641412</c:v>
                </c:pt>
                <c:pt idx="3">
                  <c:v>0.0053263666270143475</c:v>
                </c:pt>
                <c:pt idx="4">
                  <c:v>0.012620894161927366</c:v>
                </c:pt>
                <c:pt idx="5">
                  <c:v>0.024638852964882513</c:v>
                </c:pt>
                <c:pt idx="6">
                  <c:v>0.04255212562854227</c:v>
                </c:pt>
                <c:pt idx="7">
                  <c:v>0.06752665324988044</c:v>
                </c:pt>
                <c:pt idx="8">
                  <c:v>0.10072128878714519</c:v>
                </c:pt>
                <c:pt idx="9">
                  <c:v>0.14328667272074344</c:v>
                </c:pt>
                <c:pt idx="10">
                  <c:v>0.19636413439315817</c:v>
                </c:pt>
                <c:pt idx="11">
                  <c:v>0.6585953525106615</c:v>
                </c:pt>
                <c:pt idx="12">
                  <c:v>1.5477015533563117</c:v>
                </c:pt>
                <c:pt idx="13">
                  <c:v>5.100312913638358</c:v>
                </c:pt>
                <c:pt idx="14">
                  <c:v>11.713513330957593</c:v>
                </c:pt>
                <c:pt idx="15">
                  <c:v>22.02702765200052</c:v>
                </c:pt>
                <c:pt idx="16">
                  <c:v>36.470369096110765</c:v>
                </c:pt>
                <c:pt idx="17">
                  <c:v>55.29860589355891</c:v>
                </c:pt>
                <c:pt idx="18">
                  <c:v>78.63742612208166</c:v>
                </c:pt>
                <c:pt idx="19">
                  <c:v>106.52543509250881</c:v>
                </c:pt>
                <c:pt idx="20">
                  <c:v>138.94794886517923</c:v>
                </c:pt>
                <c:pt idx="21">
                  <c:v>367.2615194639935</c:v>
                </c:pt>
                <c:pt idx="22">
                  <c:v>701.2030994637526</c:v>
                </c:pt>
                <c:pt idx="23">
                  <c:v>1671.9643739837998</c:v>
                </c:pt>
                <c:pt idx="24">
                  <c:v>3038.5286149261688</c:v>
                </c:pt>
                <c:pt idx="25">
                  <c:v>4797.922652194842</c:v>
                </c:pt>
                <c:pt idx="26">
                  <c:v>6949.249125262558</c:v>
                </c:pt>
                <c:pt idx="27">
                  <c:v>9492.165166882827</c:v>
                </c:pt>
                <c:pt idx="28">
                  <c:v>12426.512203975124</c:v>
                </c:pt>
                <c:pt idx="29">
                  <c:v>15752.203229031435</c:v>
                </c:pt>
                <c:pt idx="30">
                  <c:v>19469.182074435215</c:v>
                </c:pt>
                <c:pt idx="31">
                  <c:v>43922.0803084747</c:v>
                </c:pt>
                <c:pt idx="32">
                  <c:v>78151.89514920079</c:v>
                </c:pt>
                <c:pt idx="33">
                  <c:v>175921.78021381298</c:v>
                </c:pt>
                <c:pt idx="34">
                  <c:v>312725.4253722407</c:v>
                </c:pt>
                <c:pt idx="35">
                  <c:v>488488.66933965473</c:v>
                </c:pt>
                <c:pt idx="36">
                  <c:v>703116.4664820711</c:v>
                </c:pt>
                <c:pt idx="37">
                  <c:v>956493.0517958193</c:v>
                </c:pt>
                <c:pt idx="38">
                  <c:v>1248482.1684448149</c:v>
                </c:pt>
                <c:pt idx="39">
                  <c:v>1578927.3390139302</c:v>
                </c:pt>
                <c:pt idx="40">
                  <c:v>1947652.1765517592</c:v>
                </c:pt>
                <c:pt idx="41">
                  <c:v>2354460.733489898</c:v>
                </c:pt>
                <c:pt idx="42">
                  <c:v>2799137.886836536</c:v>
                </c:pt>
                <c:pt idx="43">
                  <c:v>3281449.75802894</c:v>
                </c:pt>
                <c:pt idx="44">
                  <c:v>3801144.1657452197</c:v>
                </c:pt>
                <c:pt idx="45">
                  <c:v>4357951.1098769</c:v>
                </c:pt>
                <c:pt idx="46">
                  <c:v>7688043.444248057</c:v>
                </c:pt>
                <c:pt idx="47">
                  <c:v>16932035.542339057</c:v>
                </c:pt>
                <c:pt idx="48">
                  <c:v>29255676.488608915</c:v>
                </c:pt>
                <c:pt idx="49">
                  <c:v>44165592.77750296</c:v>
                </c:pt>
                <c:pt idx="50">
                  <c:v>61160193.09918902</c:v>
                </c:pt>
                <c:pt idx="51">
                  <c:v>79774692.33634481</c:v>
                </c:pt>
                <c:pt idx="52">
                  <c:v>99606657.14244975</c:v>
                </c:pt>
                <c:pt idx="53">
                  <c:v>120324949.65428227</c:v>
                </c:pt>
                <c:pt idx="54">
                  <c:v>141667453.8541356</c:v>
                </c:pt>
                <c:pt idx="55">
                  <c:v>252243297.8252255</c:v>
                </c:pt>
                <c:pt idx="56">
                  <c:v>289353697.8352752</c:v>
                </c:pt>
                <c:pt idx="57">
                  <c:v>363028907.25207466</c:v>
                </c:pt>
                <c:pt idx="58">
                  <c:v>471715072.64968264</c:v>
                </c:pt>
                <c:pt idx="59">
                  <c:v>578228284.3682996</c:v>
                </c:pt>
                <c:pt idx="60">
                  <c:v>648149394.0681889</c:v>
                </c:pt>
                <c:pt idx="61">
                  <c:v>785657926.5947999</c:v>
                </c:pt>
                <c:pt idx="62">
                  <c:v>986591848.1790872</c:v>
                </c:pt>
                <c:pt idx="63">
                  <c:v>1181394408.0615094</c:v>
                </c:pt>
                <c:pt idx="64">
                  <c:v>1369973894.9846945</c:v>
                </c:pt>
                <c:pt idx="65">
                  <c:v>1552078132.9037528</c:v>
                </c:pt>
                <c:pt idx="66">
                  <c:v>1727430290.5646374</c:v>
                </c:pt>
                <c:pt idx="67">
                  <c:v>1895790493.5772617</c:v>
                </c:pt>
                <c:pt idx="68">
                  <c:v>2629095329.962626</c:v>
                </c:pt>
                <c:pt idx="69">
                  <c:v>3189415023.0321493</c:v>
                </c:pt>
                <c:pt idx="70">
                  <c:v>3913093519.177569</c:v>
                </c:pt>
                <c:pt idx="71">
                  <c:v>4312050737.919017</c:v>
                </c:pt>
                <c:pt idx="72">
                  <c:v>4543058606.899621</c:v>
                </c:pt>
                <c:pt idx="73">
                  <c:v>4685147539.199627</c:v>
                </c:pt>
                <c:pt idx="74">
                  <c:v>4777517858.509512</c:v>
                </c:pt>
                <c:pt idx="75">
                  <c:v>4840459352.707202</c:v>
                </c:pt>
                <c:pt idx="76">
                  <c:v>4885063822.349069</c:v>
                </c:pt>
                <c:pt idx="77">
                  <c:v>4917724029.58959</c:v>
                </c:pt>
                <c:pt idx="78">
                  <c:v>4997634140.48657</c:v>
                </c:pt>
                <c:pt idx="79">
                  <c:v>5026325832.948836</c:v>
                </c:pt>
                <c:pt idx="80">
                  <c:v>5029264054.816085</c:v>
                </c:pt>
                <c:pt idx="81">
                  <c:v>5046532747.504357</c:v>
                </c:pt>
                <c:pt idx="82">
                  <c:v>5052858882.436989</c:v>
                </c:pt>
                <c:pt idx="83">
                  <c:v>5054955530.909707</c:v>
                </c:pt>
                <c:pt idx="84">
                  <c:v>5055259884.878431</c:v>
                </c:pt>
                <c:pt idx="85">
                  <c:v>5054637030.8583765</c:v>
                </c:pt>
                <c:pt idx="86">
                  <c:v>5053472180.253623</c:v>
                </c:pt>
                <c:pt idx="87">
                  <c:v>5051968986.676481</c:v>
                </c:pt>
                <c:pt idx="88">
                  <c:v>5050250441.558186</c:v>
                </c:pt>
                <c:pt idx="89">
                  <c:v>5040617867.541007</c:v>
                </c:pt>
                <c:pt idx="90">
                  <c:v>5031794696.622857</c:v>
                </c:pt>
                <c:pt idx="91">
                  <c:v>5019558278.168279</c:v>
                </c:pt>
                <c:pt idx="92">
                  <c:v>5012701288.365313</c:v>
                </c:pt>
                <c:pt idx="93">
                  <c:v>5008753769.9341755</c:v>
                </c:pt>
                <c:pt idx="94">
                  <c:v>5006343715.47612</c:v>
                </c:pt>
                <c:pt idx="95">
                  <c:v>5004786300.102308</c:v>
                </c:pt>
                <c:pt idx="96">
                  <c:v>5003729734.128167</c:v>
                </c:pt>
                <c:pt idx="97">
                  <c:v>5002983348.235116</c:v>
                </c:pt>
                <c:pt idx="98">
                  <c:v>5002438048.397275</c:v>
                </c:pt>
              </c:numCache>
            </c:numRef>
          </c:yVal>
          <c:smooth val="0"/>
        </c:ser>
        <c:axId val="56735913"/>
        <c:axId val="63955690"/>
      </c:scatterChart>
      <c:valAx>
        <c:axId val="5673591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55690"/>
        <c:crossesAt val="1E-12"/>
        <c:crossBetween val="midCat"/>
        <c:dispUnits/>
        <c:majorUnit val="10"/>
        <c:minorUnit val="10"/>
      </c:valAx>
      <c:valAx>
        <c:axId val="63955690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735913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107"/>
          <c:w val="0.173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Spring-Mass
Displacement Response</a:t>
            </a:r>
          </a:p>
        </c:rich>
      </c:tx>
      <c:layout>
        <c:manualLayout>
          <c:xMode val="factor"/>
          <c:yMode val="factor"/>
          <c:x val="0.06375"/>
          <c:y val="0.007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4125"/>
          <c:y val="0.11275"/>
          <c:w val="0.9455"/>
          <c:h val="0.84"/>
        </c:manualLayout>
      </c:layout>
      <c:scatterChart>
        <c:scatterStyle val="smooth"/>
        <c:varyColors val="0"/>
        <c:ser>
          <c:idx val="1"/>
          <c:order val="0"/>
          <c:tx>
            <c:v>Mass Response     m / m/s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Control!$V$41:$V$119</c:f>
              <c:numCache>
                <c:ptCount val="79"/>
                <c:pt idx="0">
                  <c:v>4.000015996863959E-06</c:v>
                </c:pt>
                <c:pt idx="1">
                  <c:v>9.000080984528574E-06</c:v>
                </c:pt>
                <c:pt idx="2">
                  <c:v>1.600025595289361E-05</c:v>
                </c:pt>
                <c:pt idx="3">
                  <c:v>3.6001295787429655E-05</c:v>
                </c:pt>
                <c:pt idx="4">
                  <c:v>6.400409544280343E-05</c:v>
                </c:pt>
                <c:pt idx="5">
                  <c:v>0.00010000999899949987</c:v>
                </c:pt>
                <c:pt idx="6">
                  <c:v>0.00014402073483742216</c:v>
                </c:pt>
                <c:pt idx="7">
                  <c:v>0.00019603841584329293</c:v>
                </c:pt>
                <c:pt idx="8">
                  <c:v>0.00025606553966424166</c:v>
                </c:pt>
                <c:pt idx="9">
                  <c:v>0.0003241049890076289</c:v>
                </c:pt>
                <c:pt idx="10">
                  <c:v>0.0004001600319871833</c:v>
                </c:pt>
                <c:pt idx="11">
                  <c:v>0.0009008105672185458</c:v>
                </c:pt>
                <c:pt idx="12">
                  <c:v>0.0016025635880988645</c:v>
                </c:pt>
                <c:pt idx="13">
                  <c:v>0.0036130042043749297</c:v>
                </c:pt>
                <c:pt idx="14">
                  <c:v>0.0064412154812230745</c:v>
                </c:pt>
                <c:pt idx="15">
                  <c:v>0.010100989488870142</c:v>
                </c:pt>
                <c:pt idx="16">
                  <c:v>0.014610346294128404</c:v>
                </c:pt>
                <c:pt idx="17">
                  <c:v>0.019991758533001974</c:v>
                </c:pt>
                <c:pt idx="18">
                  <c:v>0.02627243632127026</c:v>
                </c:pt>
                <c:pt idx="19">
                  <c:v>0.03348467936592966</c:v>
                </c:pt>
                <c:pt idx="20">
                  <c:v>0.041666304981561327</c:v>
                </c:pt>
                <c:pt idx="21">
                  <c:v>0.050861162910525656</c:v>
                </c:pt>
                <c:pt idx="22">
                  <c:v>0.0611197504991238</c:v>
                </c:pt>
                <c:pt idx="23">
                  <c:v>0.07249994502726312</c:v>
                </c:pt>
                <c:pt idx="24">
                  <c:v>0.0850678739995696</c:v>
                </c:pt>
                <c:pt idx="25">
                  <c:v>0.09889894920693301</c:v>
                </c:pt>
                <c:pt idx="26">
                  <c:v>0.19046755268780552</c:v>
                </c:pt>
                <c:pt idx="27">
                  <c:v>0.5624011491103109</c:v>
                </c:pt>
                <c:pt idx="28">
                  <c:v>1.7760245448288159</c:v>
                </c:pt>
                <c:pt idx="29">
                  <c:v>49.999999999999915</c:v>
                </c:pt>
                <c:pt idx="30">
                  <c:v>3.2678695895921885</c:v>
                </c:pt>
                <c:pt idx="31">
                  <c:v>2.0407988030970965</c:v>
                </c:pt>
                <c:pt idx="32">
                  <c:v>1.6406804979998115</c:v>
                </c:pt>
                <c:pt idx="33">
                  <c:v>1.4462418079990187</c:v>
                </c:pt>
                <c:pt idx="34">
                  <c:v>1.3332148306149432</c:v>
                </c:pt>
                <c:pt idx="35">
                  <c:v>1.124968360709776</c:v>
                </c:pt>
                <c:pt idx="36">
                  <c:v>1.098877213410369</c:v>
                </c:pt>
                <c:pt idx="37">
                  <c:v>1.0666514966199248</c:v>
                </c:pt>
                <c:pt idx="38">
                  <c:v>1.04165762453903</c:v>
                </c:pt>
                <c:pt idx="39">
                  <c:v>1.0285653831436763</c:v>
                </c:pt>
                <c:pt idx="40">
                  <c:v>1.0230130849452286</c:v>
                </c:pt>
                <c:pt idx="41">
                  <c:v>1.015869739704787</c:v>
                </c:pt>
                <c:pt idx="42">
                  <c:v>1.0100989488870142</c:v>
                </c:pt>
                <c:pt idx="43">
                  <c:v>1.0069915887653498</c:v>
                </c:pt>
                <c:pt idx="44">
                  <c:v>1.0051271689424155</c:v>
                </c:pt>
                <c:pt idx="45">
                  <c:v>1.0039207781511148</c:v>
                </c:pt>
                <c:pt idx="46">
                  <c:v>1.003095352197774</c:v>
                </c:pt>
                <c:pt idx="47">
                  <c:v>1.0025057618957103</c:v>
                </c:pt>
                <c:pt idx="48">
                  <c:v>1.0011121240877432</c:v>
                </c:pt>
                <c:pt idx="49">
                  <c:v>1.0006252656346468</c:v>
                </c:pt>
                <c:pt idx="50">
                  <c:v>1.000277799357838</c:v>
                </c:pt>
                <c:pt idx="51">
                  <c:v>1.000156243153226</c:v>
                </c:pt>
                <c:pt idx="52">
                  <c:v>1.0000999899950007</c:v>
                </c:pt>
                <c:pt idx="53">
                  <c:v>1.0000694353755286</c:v>
                </c:pt>
                <c:pt idx="54">
                  <c:v>1.0000510128057336</c:v>
                </c:pt>
                <c:pt idx="55">
                  <c:v>1.0000390562125243</c:v>
                </c:pt>
                <c:pt idx="56">
                  <c:v>1.0000308589767486</c:v>
                </c:pt>
                <c:pt idx="57">
                  <c:v>1.0000249956246372</c:v>
                </c:pt>
                <c:pt idx="58">
                  <c:v>1.000011109012272</c:v>
                </c:pt>
                <c:pt idx="59">
                  <c:v>1.000006248789038</c:v>
                </c:pt>
                <c:pt idx="60">
                  <c:v>1.0000057513328917</c:v>
                </c:pt>
                <c:pt idx="61">
                  <c:v>1.000002777229937</c:v>
                </c:pt>
                <c:pt idx="62">
                  <c:v>1.0000015621899403</c:v>
                </c:pt>
                <c:pt idx="63">
                  <c:v>1.0000009998009998</c:v>
                </c:pt>
                <c:pt idx="64">
                  <c:v>1.0000006943060373</c:v>
                </c:pt>
                <c:pt idx="65">
                  <c:v>1.0000005101023024</c:v>
                </c:pt>
                <c:pt idx="66">
                  <c:v>1.0000003905470285</c:v>
                </c:pt>
                <c:pt idx="67">
                  <c:v>1.0000003085803453</c:v>
                </c:pt>
                <c:pt idx="68">
                  <c:v>1.0000002499500635</c:v>
                </c:pt>
                <c:pt idx="69">
                  <c:v>1.0000001110889007</c:v>
                </c:pt>
                <c:pt idx="70">
                  <c:v>1.0000000624875045</c:v>
                </c:pt>
                <c:pt idx="71">
                  <c:v>1.00000002777222</c:v>
                </c:pt>
                <c:pt idx="72">
                  <c:v>1.0000000156218745</c:v>
                </c:pt>
                <c:pt idx="73">
                  <c:v>1.0000000099980004</c:v>
                </c:pt>
                <c:pt idx="74">
                  <c:v>1.0000000069430544</c:v>
                </c:pt>
                <c:pt idx="75">
                  <c:v>1.0000000051010203</c:v>
                </c:pt>
                <c:pt idx="76">
                  <c:v>1.0000000039054682</c:v>
                </c:pt>
                <c:pt idx="77">
                  <c:v>1.0000000030858018</c:v>
                </c:pt>
                <c:pt idx="78">
                  <c:v>1.000000002499498</c:v>
                </c:pt>
              </c:numCache>
            </c:numRef>
          </c:yVal>
          <c:smooth val="1"/>
        </c:ser>
        <c:axId val="63479147"/>
        <c:axId val="32503852"/>
      </c:scatterChart>
      <c:valAx>
        <c:axId val="63479147"/>
        <c:scaling>
          <c:logBase val="10"/>
          <c:orientation val="minMax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2503852"/>
        <c:crossesAt val="1E-16"/>
        <c:crossBetween val="midCat"/>
        <c:dispUnits/>
        <c:majorUnit val="10"/>
        <c:minorUnit val="10"/>
      </c:valAx>
      <c:valAx>
        <c:axId val="32503852"/>
        <c:scaling>
          <c:logBase val="10"/>
          <c:orientation val="minMax"/>
          <c:min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Response - m / m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479147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Spring-Mass
Velocity Response</a:t>
            </a:r>
          </a:p>
        </c:rich>
      </c:tx>
      <c:layout>
        <c:manualLayout>
          <c:xMode val="factor"/>
          <c:yMode val="factor"/>
          <c:x val="0.01075"/>
          <c:y val="0.017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5675"/>
          <c:y val="0.1295"/>
          <c:w val="0.8795"/>
          <c:h val="0.665"/>
        </c:manualLayout>
      </c:layout>
      <c:scatterChart>
        <c:scatterStyle val="smooth"/>
        <c:varyColors val="0"/>
        <c:ser>
          <c:idx val="1"/>
          <c:order val="0"/>
          <c:tx>
            <c:v>Mass Response     m / m/s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Control!$W$41:$W$119</c:f>
              <c:numCache>
                <c:ptCount val="79"/>
                <c:pt idx="0">
                  <c:v>6.366223183475545E-06</c:v>
                </c:pt>
                <c:pt idx="1">
                  <c:v>9.549382512767298E-06</c:v>
                </c:pt>
                <c:pt idx="2">
                  <c:v>1.273259912819271E-05</c:v>
                </c:pt>
                <c:pt idx="3">
                  <c:v>1.9099280607609527E-05</c:v>
                </c:pt>
                <c:pt idx="4">
                  <c:v>2.5466420419619043E-05</c:v>
                </c:pt>
                <c:pt idx="5">
                  <c:v>3.1834171398771824E-05</c:v>
                </c:pt>
                <c:pt idx="6">
                  <c:v>3.820268642850479E-05</c:v>
                </c:pt>
                <c:pt idx="7">
                  <c:v>4.4572118453378E-05</c:v>
                </c:pt>
                <c:pt idx="8">
                  <c:v>5.094262049132231E-05</c:v>
                </c:pt>
                <c:pt idx="9">
                  <c:v>5.7314345645898385E-05</c:v>
                </c:pt>
                <c:pt idx="10">
                  <c:v>6.368744711857117E-05</c:v>
                </c:pt>
                <c:pt idx="11">
                  <c:v>9.557896970816376E-05</c:v>
                </c:pt>
                <c:pt idx="12">
                  <c:v>0.0001275279583325092</c:v>
                </c:pt>
                <c:pt idx="13">
                  <c:v>0.00019167582617935684</c:v>
                </c:pt>
                <c:pt idx="14">
                  <c:v>0.00025628782083917344</c:v>
                </c:pt>
                <c:pt idx="15">
                  <c:v>0.0003215244814545921</c:v>
                </c:pt>
                <c:pt idx="16">
                  <c:v>0.000387551472165815</c:v>
                </c:pt>
                <c:pt idx="17">
                  <c:v>0.00045454102737526317</c:v>
                </c:pt>
                <c:pt idx="18">
                  <c:v>0.0005226735134496516</c:v>
                </c:pt>
                <c:pt idx="19">
                  <c:v>0.000592139137659433</c:v>
                </c:pt>
                <c:pt idx="20">
                  <c:v>0.0006631398398189948</c:v>
                </c:pt>
                <c:pt idx="21">
                  <c:v>0.0007358914080556663</c:v>
                </c:pt>
                <c:pt idx="22">
                  <c:v>0.0008106258677065742</c:v>
                </c:pt>
                <c:pt idx="23">
                  <c:v>0.0008875942019215077</c:v>
                </c:pt>
                <c:pt idx="24">
                  <c:v>0.0009670694746678587</c:v>
                </c:pt>
                <c:pt idx="25">
                  <c:v>0.0010493504421918449</c:v>
                </c:pt>
                <c:pt idx="26">
                  <c:v>0.0015156926254440133</c:v>
                </c:pt>
                <c:pt idx="27">
                  <c:v>0.0029836307627156026</c:v>
                </c:pt>
                <c:pt idx="28">
                  <c:v>0.007066577134050988</c:v>
                </c:pt>
                <c:pt idx="29">
                  <c:v>0.15915494309189507</c:v>
                </c:pt>
                <c:pt idx="30">
                  <c:v>0.008668293309388004</c:v>
                </c:pt>
                <c:pt idx="31">
                  <c:v>0.0046400459624132365</c:v>
                </c:pt>
                <c:pt idx="32">
                  <c:v>0.0032640301411392815</c:v>
                </c:pt>
                <c:pt idx="33">
                  <c:v>0.002557517029435596</c:v>
                </c:pt>
                <c:pt idx="34">
                  <c:v>0.0021218773049579216</c:v>
                </c:pt>
                <c:pt idx="35">
                  <c:v>0.001193628502859648</c:v>
                </c:pt>
                <c:pt idx="36">
                  <c:v>0.001049350442191847</c:v>
                </c:pt>
                <c:pt idx="37">
                  <c:v>0.0008488142912171455</c:v>
                </c:pt>
                <c:pt idx="38">
                  <c:v>0.0006631398398189929</c:v>
                </c:pt>
                <c:pt idx="39">
                  <c:v>0.0005456708834017511</c:v>
                </c:pt>
                <c:pt idx="40">
                  <c:v>0.0004884527684386193</c:v>
                </c:pt>
                <c:pt idx="41">
                  <c:v>0.0004042017265287347</c:v>
                </c:pt>
                <c:pt idx="42">
                  <c:v>0.00032152448145459213</c:v>
                </c:pt>
                <c:pt idx="43">
                  <c:v>0.0002671128150066109</c:v>
                </c:pt>
                <c:pt idx="44">
                  <c:v>0.0002285299391044972</c:v>
                </c:pt>
                <c:pt idx="45">
                  <c:v>0.00019972369289426495</c:v>
                </c:pt>
                <c:pt idx="46">
                  <c:v>0.00017738620410531267</c:v>
                </c:pt>
                <c:pt idx="47">
                  <c:v>0.00015955374748380898</c:v>
                </c:pt>
                <c:pt idx="48">
                  <c:v>0.00010622129542519417</c:v>
                </c:pt>
                <c:pt idx="49">
                  <c:v>7.962722860419744E-05</c:v>
                </c:pt>
                <c:pt idx="50">
                  <c:v>5.306638541096101E-05</c:v>
                </c:pt>
                <c:pt idx="51">
                  <c:v>3.979495249051388E-05</c:v>
                </c:pt>
                <c:pt idx="52">
                  <c:v>3.1834171398771885E-05</c:v>
                </c:pt>
                <c:pt idx="53">
                  <c:v>2.652766567918936E-05</c:v>
                </c:pt>
                <c:pt idx="54">
                  <c:v>2.2737580290298404E-05</c:v>
                </c:pt>
                <c:pt idx="55">
                  <c:v>1.989514488514713E-05</c:v>
                </c:pt>
                <c:pt idx="56">
                  <c:v>1.768442827228707E-05</c:v>
                </c:pt>
                <c:pt idx="57">
                  <c:v>1.5915892126911203E-05</c:v>
                </c:pt>
                <c:pt idx="58">
                  <c:v>1.0610447409740754E-05</c:v>
                </c:pt>
                <c:pt idx="59">
                  <c:v>7.957796880877954E-06</c:v>
                </c:pt>
                <c:pt idx="60">
                  <c:v>7.634472991075667E-06</c:v>
                </c:pt>
                <c:pt idx="61">
                  <c:v>5.305179503392264E-06</c:v>
                </c:pt>
                <c:pt idx="62">
                  <c:v>3.9788797930536595E-06</c:v>
                </c:pt>
                <c:pt idx="63">
                  <c:v>3.1831020443033313E-06</c:v>
                </c:pt>
                <c:pt idx="64">
                  <c:v>2.6525842265688864E-06</c:v>
                </c:pt>
                <c:pt idx="65">
                  <c:v>2.2736432039599753E-06</c:v>
                </c:pt>
                <c:pt idx="66">
                  <c:v>1.9894375656173178E-06</c:v>
                </c:pt>
                <c:pt idx="67">
                  <c:v>1.7683888022664735E-06</c:v>
                </c:pt>
                <c:pt idx="68">
                  <c:v>1.5915498287268348E-06</c:v>
                </c:pt>
                <c:pt idx="69">
                  <c:v>1.0610330718149536E-06</c:v>
                </c:pt>
                <c:pt idx="70">
                  <c:v>7.957747651854529E-07</c:v>
                </c:pt>
                <c:pt idx="71">
                  <c:v>5.305164917066049E-07</c:v>
                </c:pt>
                <c:pt idx="72">
                  <c:v>3.9788736394548474E-07</c:v>
                </c:pt>
                <c:pt idx="73">
                  <c:v>3.183098893662531E-07</c:v>
                </c:pt>
                <c:pt idx="74">
                  <c:v>2.652582403281946E-07</c:v>
                </c:pt>
                <c:pt idx="75">
                  <c:v>2.273642055767828E-07</c:v>
                </c:pt>
                <c:pt idx="76">
                  <c:v>1.989436796418374E-07</c:v>
                </c:pt>
                <c:pt idx="77">
                  <c:v>1.7683882620335105E-07</c:v>
                </c:pt>
                <c:pt idx="78">
                  <c:v>1.5915494348970278E-07</c:v>
                </c:pt>
              </c:numCache>
            </c:numRef>
          </c:yVal>
          <c:smooth val="1"/>
        </c:ser>
        <c:axId val="32375597"/>
        <c:axId val="24039022"/>
      </c:scatterChart>
      <c:valAx>
        <c:axId val="323755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39022"/>
        <c:crossesAt val="1E-07"/>
        <c:crossBetween val="midCat"/>
        <c:dispUnits/>
        <c:majorUnit val="10"/>
        <c:minorUnit val="10"/>
      </c:valAx>
      <c:valAx>
        <c:axId val="240390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Response - m / m/s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375597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Spring-Mass
Acceleration Response</a:t>
            </a:r>
          </a:p>
        </c:rich>
      </c:tx>
      <c:layout>
        <c:manualLayout>
          <c:xMode val="factor"/>
          <c:yMode val="factor"/>
          <c:x val="0.0665"/>
          <c:y val="0.008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4125"/>
          <c:y val="0.116"/>
          <c:w val="0.93425"/>
          <c:h val="0.8215"/>
        </c:manualLayout>
      </c:layout>
      <c:scatterChart>
        <c:scatterStyle val="smooth"/>
        <c:varyColors val="0"/>
        <c:ser>
          <c:idx val="1"/>
          <c:order val="0"/>
          <c:tx>
            <c:v>Mass Response        m / m/s2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Control!$U$41:$U$119</c:f>
              <c:numCache>
                <c:ptCount val="79"/>
                <c:pt idx="0">
                  <c:v>1.0132158884763552E-05</c:v>
                </c:pt>
                <c:pt idx="1">
                  <c:v>1.0132209535881466E-05</c:v>
                </c:pt>
                <c:pt idx="2">
                  <c:v>1.0132280448297136E-05</c:v>
                </c:pt>
                <c:pt idx="3">
                  <c:v>1.013248306066745E-05</c:v>
                </c:pt>
                <c:pt idx="4">
                  <c:v>1.0132766731596876E-05</c:v>
                </c:pt>
                <c:pt idx="5">
                  <c:v>1.0133131474698344E-05</c:v>
                </c:pt>
                <c:pt idx="6">
                  <c:v>1.0133577307477003E-05</c:v>
                </c:pt>
                <c:pt idx="7">
                  <c:v>1.0134104251332276E-05</c:v>
                </c:pt>
                <c:pt idx="8">
                  <c:v>1.013471233156053E-05</c:v>
                </c:pt>
                <c:pt idx="9">
                  <c:v>1.0135401577357974E-05</c:v>
                </c:pt>
                <c:pt idx="10">
                  <c:v>1.013617202182429E-05</c:v>
                </c:pt>
                <c:pt idx="11">
                  <c:v>1.0141243656456527E-05</c:v>
                </c:pt>
                <c:pt idx="12">
                  <c:v>1.014835247551805E-05</c:v>
                </c:pt>
                <c:pt idx="13">
                  <c:v>1.0168718402555855E-05</c:v>
                </c:pt>
                <c:pt idx="14">
                  <c:v>1.0197368385201129E-05</c:v>
                </c:pt>
                <c:pt idx="15">
                  <c:v>1.0234442109711353E-05</c:v>
                </c:pt>
                <c:pt idx="16">
                  <c:v>1.0280122082955092E-05</c:v>
                </c:pt>
                <c:pt idx="17">
                  <c:v>1.033463590640595E-05</c:v>
                </c:pt>
                <c:pt idx="18">
                  <c:v>1.0398259161090037E-05</c:v>
                </c:pt>
                <c:pt idx="19">
                  <c:v>1.047131897296345E-05</c:v>
                </c:pt>
                <c:pt idx="20">
                  <c:v>1.0554198346836071E-05</c:v>
                </c:pt>
                <c:pt idx="21">
                  <c:v>1.0647341379174029E-05</c:v>
                </c:pt>
                <c:pt idx="22">
                  <c:v>1.0751259486971507E-05</c:v>
                </c:pt>
                <c:pt idx="23">
                  <c:v>1.0866538822731832E-05</c:v>
                </c:pt>
                <c:pt idx="24">
                  <c:v>1.099384908619087E-05</c:v>
                </c:pt>
                <c:pt idx="25">
                  <c:v>1.113395399403322E-05</c:v>
                </c:pt>
                <c:pt idx="26">
                  <c:v>1.206149867736737E-05</c:v>
                </c:pt>
                <c:pt idx="27">
                  <c:v>1.5828652808241002E-05</c:v>
                </c:pt>
                <c:pt idx="28">
                  <c:v>2.8117017040609346E-05</c:v>
                </c:pt>
                <c:pt idx="29">
                  <c:v>0.000506605918211688</c:v>
                </c:pt>
                <c:pt idx="30">
                  <c:v>2.2993362139325084E-05</c:v>
                </c:pt>
                <c:pt idx="31">
                  <c:v>1.0549803587023679E-05</c:v>
                </c:pt>
                <c:pt idx="32">
                  <c:v>6.493581642040669E-06</c:v>
                </c:pt>
                <c:pt idx="33">
                  <c:v>4.522683080848616E-06</c:v>
                </c:pt>
                <c:pt idx="34">
                  <c:v>3.3770726171856225E-06</c:v>
                </c:pt>
                <c:pt idx="35">
                  <c:v>1.2664791763032767E-06</c:v>
                </c:pt>
                <c:pt idx="36">
                  <c:v>1.002055859462992E-06</c:v>
                </c:pt>
                <c:pt idx="37">
                  <c:v>6.754649510712614E-07</c:v>
                </c:pt>
                <c:pt idx="38">
                  <c:v>4.2216793387344163E-07</c:v>
                </c:pt>
                <c:pt idx="39">
                  <c:v>2.894873946490332E-07</c:v>
                </c:pt>
                <c:pt idx="40">
                  <c:v>2.3321901792500058E-07</c:v>
                </c:pt>
                <c:pt idx="41">
                  <c:v>1.6082675695831654E-07</c:v>
                </c:pt>
                <c:pt idx="42">
                  <c:v>1.0234442109711354E-07</c:v>
                </c:pt>
                <c:pt idx="43">
                  <c:v>7.085387478582187E-08</c:v>
                </c:pt>
                <c:pt idx="44">
                  <c:v>5.195952778995795E-08</c:v>
                </c:pt>
                <c:pt idx="45">
                  <c:v>3.97337662208624E-08</c:v>
                </c:pt>
                <c:pt idx="46">
                  <c:v>3.136876802185375E-08</c:v>
                </c:pt>
                <c:pt idx="47">
                  <c:v>2.539376760088426E-08</c:v>
                </c:pt>
                <c:pt idx="48">
                  <c:v>1.127042948569612E-08</c:v>
                </c:pt>
                <c:pt idx="49">
                  <c:v>6.336533518533193E-09</c:v>
                </c:pt>
                <c:pt idx="50">
                  <c:v>2.8152591833913616E-09</c:v>
                </c:pt>
                <c:pt idx="51">
                  <c:v>1.583390849743104E-09</c:v>
                </c:pt>
                <c:pt idx="52">
                  <c:v>1.0133131474698363E-09</c:v>
                </c:pt>
                <c:pt idx="53">
                  <c:v>7.036681869220347E-10</c:v>
                </c:pt>
                <c:pt idx="54">
                  <c:v>5.169711853071205E-10</c:v>
                </c:pt>
                <c:pt idx="55">
                  <c:v>3.958013315000755E-10</c:v>
                </c:pt>
                <c:pt idx="56">
                  <c:v>3.1272935280983924E-10</c:v>
                </c:pt>
                <c:pt idx="57">
                  <c:v>2.5330929057152976E-10</c:v>
                </c:pt>
                <c:pt idx="58">
                  <c:v>1.1258034357845588E-10</c:v>
                </c:pt>
                <c:pt idx="59">
                  <c:v>6.332613548564966E-11</c:v>
                </c:pt>
                <c:pt idx="60">
                  <c:v>5.828484263593129E-11</c:v>
                </c:pt>
                <c:pt idx="61">
                  <c:v>2.8144851398489512E-11</c:v>
                </c:pt>
                <c:pt idx="62">
                  <c:v>1.5831459675823686E-11</c:v>
                </c:pt>
                <c:pt idx="63">
                  <c:v>1.0132128494335849E-11</c:v>
                </c:pt>
                <c:pt idx="64">
                  <c:v>7.0361981937671715E-12</c:v>
                </c:pt>
                <c:pt idx="65">
                  <c:v>5.169450781964635E-12</c:v>
                </c:pt>
                <c:pt idx="66">
                  <c:v>3.957860281758788E-12</c:v>
                </c:pt>
                <c:pt idx="67">
                  <c:v>3.1271979909896172E-12</c:v>
                </c:pt>
                <c:pt idx="68">
                  <c:v>2.533030224189352E-12</c:v>
                </c:pt>
                <c:pt idx="69">
                  <c:v>1.1257910544221857E-12</c:v>
                </c:pt>
                <c:pt idx="70">
                  <c:v>6.332574373352857E-13</c:v>
                </c:pt>
                <c:pt idx="71">
                  <c:v>2.8144774015625555E-13</c:v>
                </c:pt>
                <c:pt idx="72">
                  <c:v>1.583143519143197E-13</c:v>
                </c:pt>
                <c:pt idx="73">
                  <c:v>1.0132118465534704E-13</c:v>
                </c:pt>
                <c:pt idx="74">
                  <c:v>7.036193357348352E-14</c:v>
                </c:pt>
                <c:pt idx="75">
                  <c:v>5.1694481713866947E-14</c:v>
                </c:pt>
                <c:pt idx="76">
                  <c:v>3.9578587514861116E-14</c:v>
                </c:pt>
                <c:pt idx="77">
                  <c:v>3.12719703564799E-14</c:v>
                </c:pt>
                <c:pt idx="78">
                  <c:v>2.5330295973897468E-14</c:v>
                </c:pt>
              </c:numCache>
            </c:numRef>
          </c:yVal>
          <c:smooth val="1"/>
        </c:ser>
        <c:axId val="19032559"/>
        <c:axId val="29156784"/>
      </c:scatterChart>
      <c:valAx>
        <c:axId val="1903255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156784"/>
        <c:crossesAt val="1E-24"/>
        <c:crossBetween val="midCat"/>
        <c:dispUnits/>
        <c:majorUnit val="10"/>
        <c:minorUnit val="10"/>
      </c:valAx>
      <c:valAx>
        <c:axId val="29156784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Response - m / m/s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032559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Quadratic amplitude vs damping factor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Ampl.'!$E$4:$E$44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0.25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Ampl.'!$F$4:$F$44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0.5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Ampl.'!$G$4:$G$44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0.707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Ampl.'!$H$4:$H$44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0.8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Ampl.'!$I$4:$I$44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Ampl.'!$J$4:$J$44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16142769"/>
        <c:axId val="42647026"/>
      </c:scatterChart>
      <c:valAx>
        <c:axId val="16142769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2647026"/>
        <c:crossesAt val="0.01"/>
        <c:crossBetween val="midCat"/>
        <c:dispUnits/>
      </c:valAx>
      <c:valAx>
        <c:axId val="42647026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16142769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0475"/>
          <c:w val="0.94075"/>
          <c:h val="0.8865"/>
        </c:manualLayout>
      </c:layout>
      <c:scatterChart>
        <c:scatterStyle val="line"/>
        <c:varyColors val="0"/>
        <c:ser>
          <c:idx val="0"/>
          <c:order val="0"/>
          <c:tx>
            <c:v>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Test'!$A$15:$A$55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Test'!$K$15:$K$55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0593267"/>
        <c:axId val="63493940"/>
      </c:scatterChart>
      <c:valAx>
        <c:axId val="20593267"/>
        <c:scaling>
          <c:logBase val="10"/>
          <c:orientation val="minMax"/>
          <c:max val="1"/>
          <c:min val="0.0001"/>
        </c:scaling>
        <c:axPos val="b"/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375" b="0" i="0" u="none" baseline="0">
                <a:latin typeface="Arial"/>
                <a:ea typeface="Arial"/>
                <a:cs typeface="Arial"/>
              </a:defRPr>
            </a:pPr>
          </a:p>
        </c:txPr>
        <c:crossAx val="63493940"/>
        <c:crossesAt val="1E-06"/>
        <c:crossBetween val="midCat"/>
        <c:dispUnits/>
      </c:valAx>
      <c:valAx>
        <c:axId val="63493940"/>
        <c:scaling>
          <c:logBase val="10"/>
          <c:orientation val="minMax"/>
        </c:scaling>
        <c:axPos val="l"/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375" b="0" i="0" u="none" baseline="0">
                <a:latin typeface="Arial"/>
                <a:ea typeface="Arial"/>
                <a:cs typeface="Arial"/>
              </a:defRPr>
            </a:pPr>
          </a:p>
        </c:txPr>
        <c:crossAx val="20593267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Acceleration Response - V/ m/s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4"/>
          <c:y val="0.0252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"/>
          <c:y val="0.107"/>
          <c:w val="0.98825"/>
          <c:h val="0.80875"/>
        </c:manualLayout>
      </c:layout>
      <c:scatterChart>
        <c:scatterStyle val="line"/>
        <c:varyColors val="0"/>
        <c:ser>
          <c:idx val="1"/>
          <c:order val="0"/>
          <c:tx>
            <c:v>1/B - V / m/s^2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Control!$P$21:$P$119</c:f>
              <c:numCache>
                <c:ptCount val="99"/>
                <c:pt idx="0">
                  <c:v>4.999588074621699</c:v>
                </c:pt>
                <c:pt idx="1">
                  <c:v>7.498387054147196</c:v>
                </c:pt>
                <c:pt idx="2">
                  <c:v>9.99673076362918</c:v>
                </c:pt>
                <c:pt idx="3">
                  <c:v>14.991095258238548</c:v>
                </c:pt>
                <c:pt idx="4">
                  <c:v>19.981034274397633</c:v>
                </c:pt>
                <c:pt idx="5">
                  <c:v>24.96503381132493</c:v>
                </c:pt>
                <c:pt idx="6">
                  <c:v>29.94160984051117</c:v>
                </c:pt>
                <c:pt idx="7">
                  <c:v>34.90929539137918</c:v>
                </c:pt>
                <c:pt idx="8">
                  <c:v>39.86663890404253</c:v>
                </c:pt>
                <c:pt idx="9">
                  <c:v>44.81220504931977</c:v>
                </c:pt>
                <c:pt idx="10">
                  <c:v>49.74457625056002</c:v>
                </c:pt>
                <c:pt idx="11">
                  <c:v>74.16035656718257</c:v>
                </c:pt>
                <c:pt idx="12">
                  <c:v>98.04686455984799</c:v>
                </c:pt>
                <c:pt idx="13">
                  <c:v>143.66484628507305</c:v>
                </c:pt>
                <c:pt idx="14">
                  <c:v>185.69548407630978</c:v>
                </c:pt>
                <c:pt idx="15">
                  <c:v>223.62305384536623</c:v>
                </c:pt>
                <c:pt idx="16">
                  <c:v>257.2858709267076</c:v>
                </c:pt>
                <c:pt idx="17">
                  <c:v>286.79484206772645</c:v>
                </c:pt>
                <c:pt idx="18">
                  <c:v>312.439108496815</c:v>
                </c:pt>
                <c:pt idx="19">
                  <c:v>334.60264700355003</c:v>
                </c:pt>
                <c:pt idx="20">
                  <c:v>353.70203985750175</c:v>
                </c:pt>
                <c:pt idx="21">
                  <c:v>416.2927258184737</c:v>
                </c:pt>
                <c:pt idx="22">
                  <c:v>447.55680984537344</c:v>
                </c:pt>
                <c:pt idx="23">
                  <c:v>474.75963603136523</c:v>
                </c:pt>
                <c:pt idx="24">
                  <c:v>485.5202130697759</c:v>
                </c:pt>
                <c:pt idx="25">
                  <c:v>490.75352638167385</c:v>
                </c:pt>
                <c:pt idx="26">
                  <c:v>493.6667318382257</c:v>
                </c:pt>
                <c:pt idx="27">
                  <c:v>495.4470253788433</c:v>
                </c:pt>
                <c:pt idx="28">
                  <c:v>496.6112553528799</c:v>
                </c:pt>
                <c:pt idx="29">
                  <c:v>497.4125517091828</c:v>
                </c:pt>
                <c:pt idx="30">
                  <c:v>497.9864085217172</c:v>
                </c:pt>
                <c:pt idx="31">
                  <c:v>499.33356374495406</c:v>
                </c:pt>
                <c:pt idx="32">
                  <c:v>499.7748532208195</c:v>
                </c:pt>
                <c:pt idx="33">
                  <c:v>499.99690883136554</c:v>
                </c:pt>
                <c:pt idx="34">
                  <c:v>499.9433099067526</c:v>
                </c:pt>
                <c:pt idx="35">
                  <c:v>499.7744958172445</c:v>
                </c:pt>
                <c:pt idx="36">
                  <c:v>499.5302961461432</c:v>
                </c:pt>
                <c:pt idx="37">
                  <c:v>499.2245460764131</c:v>
                </c:pt>
                <c:pt idx="38">
                  <c:v>498.8632137028882</c:v>
                </c:pt>
                <c:pt idx="39">
                  <c:v>498.449344523242</c:v>
                </c:pt>
                <c:pt idx="40">
                  <c:v>497.9847416533163</c:v>
                </c:pt>
                <c:pt idx="41">
                  <c:v>497.4706306823343</c:v>
                </c:pt>
                <c:pt idx="42">
                  <c:v>496.90795395997424</c:v>
                </c:pt>
                <c:pt idx="43">
                  <c:v>496.2975124829691</c:v>
                </c:pt>
                <c:pt idx="44">
                  <c:v>495.6400389802148</c:v>
                </c:pt>
                <c:pt idx="45">
                  <c:v>494.9362375116403</c:v>
                </c:pt>
                <c:pt idx="46">
                  <c:v>490.7470849596917</c:v>
                </c:pt>
                <c:pt idx="47">
                  <c:v>479.33084537625666</c:v>
                </c:pt>
                <c:pt idx="48">
                  <c:v>464.60572032427353</c:v>
                </c:pt>
                <c:pt idx="49">
                  <c:v>447.52625961052854</c:v>
                </c:pt>
                <c:pt idx="50">
                  <c:v>429.00477209373224</c:v>
                </c:pt>
                <c:pt idx="51">
                  <c:v>409.82340243194704</c:v>
                </c:pt>
                <c:pt idx="52">
                  <c:v>390.59621880897663</c:v>
                </c:pt>
                <c:pt idx="53">
                  <c:v>371.76919459312154</c:v>
                </c:pt>
                <c:pt idx="54">
                  <c:v>353.6417457090874</c:v>
                </c:pt>
                <c:pt idx="55">
                  <c:v>277.3394664515781</c:v>
                </c:pt>
                <c:pt idx="56">
                  <c:v>257.2214538218488</c:v>
                </c:pt>
                <c:pt idx="57">
                  <c:v>223.56217364749946</c:v>
                </c:pt>
                <c:pt idx="58">
                  <c:v>185.64105714225724</c:v>
                </c:pt>
                <c:pt idx="59">
                  <c:v>158.0587313547083</c:v>
                </c:pt>
                <c:pt idx="60">
                  <c:v>143.6201133762561</c:v>
                </c:pt>
                <c:pt idx="61">
                  <c:v>121.21813749696769</c:v>
                </c:pt>
                <c:pt idx="62">
                  <c:v>98.01501893580607</c:v>
                </c:pt>
                <c:pt idx="63">
                  <c:v>82.1621120393955</c:v>
                </c:pt>
                <c:pt idx="64">
                  <c:v>70.67789174542104</c:v>
                </c:pt>
                <c:pt idx="65">
                  <c:v>61.988299194464076</c:v>
                </c:pt>
                <c:pt idx="66">
                  <c:v>55.189736378977145</c:v>
                </c:pt>
                <c:pt idx="67">
                  <c:v>49.728355462502165</c:v>
                </c:pt>
                <c:pt idx="68">
                  <c:v>33.244039207507015</c:v>
                </c:pt>
                <c:pt idx="69">
                  <c:v>24.957671364567823</c:v>
                </c:pt>
                <c:pt idx="70">
                  <c:v>16.650991183848788</c:v>
                </c:pt>
                <c:pt idx="71">
                  <c:v>12.492360068712353</c:v>
                </c:pt>
                <c:pt idx="72">
                  <c:v>9.996132413535179</c:v>
                </c:pt>
                <c:pt idx="73">
                  <c:v>8.331762390981575</c:v>
                </c:pt>
                <c:pt idx="74">
                  <c:v>7.142932325270599</c:v>
                </c:pt>
                <c:pt idx="75">
                  <c:v>6.251385158888348</c:v>
                </c:pt>
                <c:pt idx="76">
                  <c:v>5.558056460470213</c:v>
                </c:pt>
                <c:pt idx="77">
                  <c:v>5.003494807824888</c:v>
                </c:pt>
                <c:pt idx="78">
                  <c:v>3.340950654349545</c:v>
                </c:pt>
                <c:pt idx="79">
                  <c:v>2.511182003133943</c:v>
                </c:pt>
                <c:pt idx="80">
                  <c:v>2.410188053709837</c:v>
                </c:pt>
                <c:pt idx="81">
                  <c:v>1.6844608029054764</c:v>
                </c:pt>
                <c:pt idx="82">
                  <c:v>1.27411384982273</c:v>
                </c:pt>
                <c:pt idx="83">
                  <c:v>1.0302592214260307</c:v>
                </c:pt>
                <c:pt idx="84">
                  <c:v>0.8695895428932466</c:v>
                </c:pt>
                <c:pt idx="85">
                  <c:v>0.756393179952718</c:v>
                </c:pt>
                <c:pt idx="86">
                  <c:v>0.6728086722375464</c:v>
                </c:pt>
                <c:pt idx="87">
                  <c:v>0.6089093981330692</c:v>
                </c:pt>
                <c:pt idx="88">
                  <c:v>0.5587373470309005</c:v>
                </c:pt>
                <c:pt idx="89">
                  <c:v>0.41645834517903885</c:v>
                </c:pt>
                <c:pt idx="90">
                  <c:v>0.35337665820246805</c:v>
                </c:pt>
                <c:pt idx="91">
                  <c:v>0.3003124334296172</c:v>
                </c:pt>
                <c:pt idx="92">
                  <c:v>0.279368804076975</c:v>
                </c:pt>
                <c:pt idx="93">
                  <c:v>0.2691236731511261</c:v>
                </c:pt>
                <c:pt idx="94">
                  <c:v>0.26339143897880213</c:v>
                </c:pt>
                <c:pt idx="95">
                  <c:v>0.25987398497952174</c:v>
                </c:pt>
                <c:pt idx="96">
                  <c:v>0.2575653169354352</c:v>
                </c:pt>
                <c:pt idx="97">
                  <c:v>0.2559704703357399</c:v>
                </c:pt>
                <c:pt idx="98">
                  <c:v>0.2548235626273918</c:v>
                </c:pt>
              </c:numCache>
            </c:numRef>
          </c:yVal>
          <c:smooth val="0"/>
        </c:ser>
        <c:ser>
          <c:idx val="5"/>
          <c:order val="1"/>
          <c:tx>
            <c:v>Acc Resp - V / m/s^2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Control!$AM$21:$AM$119</c:f>
              <c:numCache>
                <c:ptCount val="99"/>
                <c:pt idx="0">
                  <c:v>4.999575266887114</c:v>
                </c:pt>
                <c:pt idx="1">
                  <c:v>7.498358556577175</c:v>
                </c:pt>
                <c:pt idx="2">
                  <c:v>9.996675439759148</c:v>
                </c:pt>
                <c:pt idx="3">
                  <c:v>14.99093808783722</c:v>
                </c:pt>
                <c:pt idx="4">
                  <c:v>19.980686486111733</c:v>
                </c:pt>
                <c:pt idx="5">
                  <c:v>24.964377459914193</c:v>
                </c:pt>
                <c:pt idx="6">
                  <c:v>29.940498160981658</c:v>
                </c:pt>
                <c:pt idx="7">
                  <c:v>34.90755323818164</c:v>
                </c:pt>
                <c:pt idx="8">
                  <c:v>39.86406327302841</c:v>
                </c:pt>
                <c:pt idx="9">
                  <c:v>44.80856567974691</c:v>
                </c:pt>
                <c:pt idx="10">
                  <c:v>49.73961630404468</c:v>
                </c:pt>
                <c:pt idx="11">
                  <c:v>74.14406739746993</c:v>
                </c:pt>
                <c:pt idx="12">
                  <c:v>98.00934581946642</c:v>
                </c:pt>
                <c:pt idx="13">
                  <c:v>143.54715037670528</c:v>
                </c:pt>
                <c:pt idx="14">
                  <c:v>185.44172426608216</c:v>
                </c:pt>
                <c:pt idx="15">
                  <c:v>223.1804513823197</c:v>
                </c:pt>
                <c:pt idx="16">
                  <c:v>256.6125669924222</c:v>
                </c:pt>
                <c:pt idx="17">
                  <c:v>285.86327565849706</c:v>
                </c:pt>
                <c:pt idx="18">
                  <c:v>311.23582395610174</c:v>
                </c:pt>
                <c:pt idx="19">
                  <c:v>333.12602381444503</c:v>
                </c:pt>
                <c:pt idx="20">
                  <c:v>351.9592660923746</c:v>
                </c:pt>
                <c:pt idx="21">
                  <c:v>413.45968731528114</c:v>
                </c:pt>
                <c:pt idx="22">
                  <c:v>444.04205007089575</c:v>
                </c:pt>
                <c:pt idx="23">
                  <c:v>470.57058161071916</c:v>
                </c:pt>
                <c:pt idx="24">
                  <c:v>481.0426809303634</c:v>
                </c:pt>
                <c:pt idx="25">
                  <c:v>486.131202144766</c:v>
                </c:pt>
                <c:pt idx="26">
                  <c:v>488.9626019424186</c:v>
                </c:pt>
                <c:pt idx="27">
                  <c:v>490.6925561413963</c:v>
                </c:pt>
                <c:pt idx="28">
                  <c:v>491.8237988487169</c:v>
                </c:pt>
                <c:pt idx="29">
                  <c:v>492.6024309074445</c:v>
                </c:pt>
                <c:pt idx="30">
                  <c:v>493.16014308249026</c:v>
                </c:pt>
                <c:pt idx="31">
                  <c:v>494.4707960987193</c:v>
                </c:pt>
                <c:pt idx="32">
                  <c:v>494.90265752555626</c:v>
                </c:pt>
                <c:pt idx="33">
                  <c:v>495.1278611036314</c:v>
                </c:pt>
                <c:pt idx="34">
                  <c:v>495.08922271514064</c:v>
                </c:pt>
                <c:pt idx="35">
                  <c:v>494.9425017336437</c:v>
                </c:pt>
                <c:pt idx="36">
                  <c:v>494.7263376554275</c:v>
                </c:pt>
                <c:pt idx="37">
                  <c:v>494.4541232327771</c:v>
                </c:pt>
                <c:pt idx="38">
                  <c:v>494.1316057155515</c:v>
                </c:pt>
                <c:pt idx="39">
                  <c:v>493.76168788314243</c:v>
                </c:pt>
                <c:pt idx="40">
                  <c:v>493.3460596294992</c:v>
                </c:pt>
                <c:pt idx="41">
                  <c:v>492.8858437119903</c:v>
                </c:pt>
                <c:pt idx="42">
                  <c:v>492.38188172289927</c:v>
                </c:pt>
                <c:pt idx="43">
                  <c:v>491.83487210999266</c:v>
                </c:pt>
                <c:pt idx="44">
                  <c:v>491.24544141386764</c:v>
                </c:pt>
                <c:pt idx="45">
                  <c:v>490.6141830090746</c:v>
                </c:pt>
                <c:pt idx="46">
                  <c:v>486.85103854058025</c:v>
                </c:pt>
                <c:pt idx="47">
                  <c:v>476.5483007288684</c:v>
                </c:pt>
                <c:pt idx="48">
                  <c:v>463.1593390754949</c:v>
                </c:pt>
                <c:pt idx="49">
                  <c:v>447.4910136482084</c:v>
                </c:pt>
                <c:pt idx="50">
                  <c:v>430.3349414308174</c:v>
                </c:pt>
                <c:pt idx="51">
                  <c:v>412.3911353174382</c:v>
                </c:pt>
                <c:pt idx="52">
                  <c:v>394.2290781378722</c:v>
                </c:pt>
                <c:pt idx="53">
                  <c:v>376.27982471224016</c:v>
                </c:pt>
                <c:pt idx="54">
                  <c:v>358.8478527024321</c:v>
                </c:pt>
                <c:pt idx="55">
                  <c:v>283.9732166833175</c:v>
                </c:pt>
                <c:pt idx="56">
                  <c:v>263.858932403617</c:v>
                </c:pt>
                <c:pt idx="57">
                  <c:v>229.89074111977916</c:v>
                </c:pt>
                <c:pt idx="58">
                  <c:v>191.17891801118884</c:v>
                </c:pt>
                <c:pt idx="59">
                  <c:v>162.74103941020667</c:v>
                </c:pt>
                <c:pt idx="60">
                  <c:v>147.76034380963978</c:v>
                </c:pt>
                <c:pt idx="61">
                  <c:v>124.38092353214068</c:v>
                </c:pt>
                <c:pt idx="62">
                  <c:v>99.96265382938674</c:v>
                </c:pt>
                <c:pt idx="63">
                  <c:v>83.12519428696605</c:v>
                </c:pt>
                <c:pt idx="64">
                  <c:v>70.82009010150665</c:v>
                </c:pt>
                <c:pt idx="65">
                  <c:v>61.42905997312416</c:v>
                </c:pt>
                <c:pt idx="66">
                  <c:v>54.02014867272732</c:v>
                </c:pt>
                <c:pt idx="67">
                  <c:v>48.020934186784984</c:v>
                </c:pt>
                <c:pt idx="68">
                  <c:v>29.598116748928433</c:v>
                </c:pt>
                <c:pt idx="69">
                  <c:v>20.197206578766963</c:v>
                </c:pt>
                <c:pt idx="70">
                  <c:v>11.013312974062007</c:v>
                </c:pt>
                <c:pt idx="71">
                  <c:v>6.826595073308921</c:v>
                </c:pt>
                <c:pt idx="72">
                  <c:v>4.603080754075797</c:v>
                </c:pt>
                <c:pt idx="73">
                  <c:v>3.2965603764631415</c:v>
                </c:pt>
                <c:pt idx="74">
                  <c:v>2.4697130831458707</c:v>
                </c:pt>
                <c:pt idx="75">
                  <c:v>1.9157854335504607</c:v>
                </c:pt>
                <c:pt idx="76">
                  <c:v>1.5276557057060818</c:v>
                </c:pt>
                <c:pt idx="77">
                  <c:v>1.2456740487609606</c:v>
                </c:pt>
                <c:pt idx="78">
                  <c:v>0.5626291183616186</c:v>
                </c:pt>
                <c:pt idx="79">
                  <c:v>0.3182958017290221</c:v>
                </c:pt>
                <c:pt idx="80">
                  <c:v>0.2931281781317689</c:v>
                </c:pt>
                <c:pt idx="81">
                  <c:v>0.14203351979637788</c:v>
                </c:pt>
                <c:pt idx="82">
                  <c:v>0.07999400667909622</c:v>
                </c:pt>
                <c:pt idx="83">
                  <c:v>0.05121740776511535</c:v>
                </c:pt>
                <c:pt idx="84">
                  <c:v>0.03556978577468825</c:v>
                </c:pt>
                <c:pt idx="85">
                  <c:v>0.026129684022906254</c:v>
                </c:pt>
                <c:pt idx="86">
                  <c:v>0.020000929015895407</c:v>
                </c:pt>
                <c:pt idx="87">
                  <c:v>0.015798502390569222</c:v>
                </c:pt>
                <c:pt idx="88">
                  <c:v>0.012792433810722861</c:v>
                </c:pt>
                <c:pt idx="89">
                  <c:v>0.005674681873644127</c:v>
                </c:pt>
                <c:pt idx="90">
                  <c:v>0.003186421215669162</c:v>
                </c:pt>
                <c:pt idx="91">
                  <c:v>0.0014127432947380694</c:v>
                </c:pt>
                <c:pt idx="92">
                  <c:v>0.000793582543410383</c:v>
                </c:pt>
                <c:pt idx="93">
                  <c:v>0.0005074928605427523</c:v>
                </c:pt>
                <c:pt idx="94">
                  <c:v>0.00035225602150862475</c:v>
                </c:pt>
                <c:pt idx="95">
                  <c:v>0.0002587198325527155</c:v>
                </c:pt>
                <c:pt idx="96">
                  <c:v>0.0001980405544094633</c:v>
                </c:pt>
                <c:pt idx="97">
                  <c:v>0.00015645314647718772</c:v>
                </c:pt>
                <c:pt idx="98">
                  <c:v>0.00012671323604026953</c:v>
                </c:pt>
              </c:numCache>
            </c:numRef>
          </c:yVal>
          <c:smooth val="0"/>
        </c:ser>
        <c:ser>
          <c:idx val="0"/>
          <c:order val="2"/>
          <c:tx>
            <c:v>Loop Gain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Control!$AF$21:$AF$119</c:f>
              <c:numCache>
                <c:ptCount val="99"/>
                <c:pt idx="0">
                  <c:v>10132.953172399613</c:v>
                </c:pt>
                <c:pt idx="1">
                  <c:v>6756.198566561734</c:v>
                </c:pt>
                <c:pt idx="2">
                  <c:v>5067.715946349842</c:v>
                </c:pt>
                <c:pt idx="3">
                  <c:v>3379.378966701546</c:v>
                </c:pt>
                <c:pt idx="4">
                  <c:v>2535.4339244713196</c:v>
                </c:pt>
                <c:pt idx="5">
                  <c:v>2029.261915307015</c:v>
                </c:pt>
                <c:pt idx="6">
                  <c:v>1691.979583609141</c:v>
                </c:pt>
                <c:pt idx="7">
                  <c:v>1451.2063977787525</c:v>
                </c:pt>
                <c:pt idx="8">
                  <c:v>1270.7515484252153</c:v>
                </c:pt>
                <c:pt idx="9">
                  <c:v>1130.5088291568675</c:v>
                </c:pt>
                <c:pt idx="10">
                  <c:v>1018.4144215444351</c:v>
                </c:pt>
                <c:pt idx="11">
                  <c:v>683.1223408940439</c:v>
                </c:pt>
                <c:pt idx="12">
                  <c:v>516.6978072442123</c:v>
                </c:pt>
                <c:pt idx="13">
                  <c:v>352.63052420503453</c:v>
                </c:pt>
                <c:pt idx="14">
                  <c:v>272.8155964022538</c:v>
                </c:pt>
                <c:pt idx="15">
                  <c:v>226.5448110135856</c:v>
                </c:pt>
                <c:pt idx="16">
                  <c:v>196.90418512086734</c:v>
                </c:pt>
                <c:pt idx="17">
                  <c:v>176.64435919074498</c:v>
                </c:pt>
                <c:pt idx="18">
                  <c:v>162.14590334229555</c:v>
                </c:pt>
                <c:pt idx="19">
                  <c:v>151.40572372295796</c:v>
                </c:pt>
                <c:pt idx="20">
                  <c:v>143.23014491018392</c:v>
                </c:pt>
                <c:pt idx="21">
                  <c:v>121.69573124248686</c:v>
                </c:pt>
                <c:pt idx="22">
                  <c:v>113.19546731729682</c:v>
                </c:pt>
                <c:pt idx="23">
                  <c:v>106.71171569436068</c:v>
                </c:pt>
                <c:pt idx="24">
                  <c:v>104.34958688466229</c:v>
                </c:pt>
                <c:pt idx="25">
                  <c:v>103.24053654193658</c:v>
                </c:pt>
                <c:pt idx="26">
                  <c:v>102.63581333244211</c:v>
                </c:pt>
                <c:pt idx="27">
                  <c:v>102.27232915146922</c:v>
                </c:pt>
                <c:pt idx="28">
                  <c:v>102.03868944088964</c:v>
                </c:pt>
                <c:pt idx="29">
                  <c:v>101.88124065759166</c:v>
                </c:pt>
                <c:pt idx="30">
                  <c:v>101.77157296233919</c:v>
                </c:pt>
                <c:pt idx="31">
                  <c:v>101.54778681807598</c:v>
                </c:pt>
                <c:pt idx="32">
                  <c:v>101.52924271916214</c:v>
                </c:pt>
                <c:pt idx="33">
                  <c:v>101.68781269391265</c:v>
                </c:pt>
                <c:pt idx="34">
                  <c:v>101.98524695833075</c:v>
                </c:pt>
                <c:pt idx="35">
                  <c:v>102.39060011431528</c:v>
                </c:pt>
                <c:pt idx="36">
                  <c:v>102.89788389478943</c:v>
                </c:pt>
                <c:pt idx="37">
                  <c:v>103.50688870999674</c:v>
                </c:pt>
                <c:pt idx="38">
                  <c:v>104.2195423060699</c:v>
                </c:pt>
                <c:pt idx="39">
                  <c:v>105.0389481701401</c:v>
                </c:pt>
                <c:pt idx="40">
                  <c:v>105.96909366937597</c:v>
                </c:pt>
                <c:pt idx="41">
                  <c:v>107.01477356130636</c:v>
                </c:pt>
                <c:pt idx="42">
                  <c:v>108.18159984452069</c:v>
                </c:pt>
                <c:pt idx="43">
                  <c:v>109.47605568650422</c:v>
                </c:pt>
                <c:pt idx="44">
                  <c:v>110.90557886335063</c:v>
                </c:pt>
                <c:pt idx="45">
                  <c:v>112.4786704850175</c:v>
                </c:pt>
                <c:pt idx="46">
                  <c:v>122.88915254950601</c:v>
                </c:pt>
                <c:pt idx="47">
                  <c:v>165.1119780932948</c:v>
                </c:pt>
                <c:pt idx="48">
                  <c:v>302.59008671896026</c:v>
                </c:pt>
                <c:pt idx="49">
                  <c:v>5660.069184013635</c:v>
                </c:pt>
                <c:pt idx="50">
                  <c:v>267.9849227213409</c:v>
                </c:pt>
                <c:pt idx="51">
                  <c:v>128.7115807006107</c:v>
                </c:pt>
                <c:pt idx="52">
                  <c:v>83.12396957964908</c:v>
                </c:pt>
                <c:pt idx="53">
                  <c:v>60.82649055684149</c:v>
                </c:pt>
                <c:pt idx="54">
                  <c:v>47.74708667968838</c:v>
                </c:pt>
                <c:pt idx="55">
                  <c:v>22.832653291420364</c:v>
                </c:pt>
                <c:pt idx="56">
                  <c:v>19.47846582340319</c:v>
                </c:pt>
                <c:pt idx="57">
                  <c:v>15.106870273508278</c:v>
                </c:pt>
                <c:pt idx="58">
                  <c:v>11.370543250837455</c:v>
                </c:pt>
                <c:pt idx="59">
                  <c:v>9.157589465885897</c:v>
                </c:pt>
                <c:pt idx="60">
                  <c:v>8.119302110353205</c:v>
                </c:pt>
                <c:pt idx="61">
                  <c:v>6.633774461447215</c:v>
                </c:pt>
                <c:pt idx="62">
                  <c:v>5.22085401851236</c:v>
                </c:pt>
                <c:pt idx="63">
                  <c:v>4.311833826268289</c:v>
                </c:pt>
                <c:pt idx="64">
                  <c:v>3.6757977994812108</c:v>
                </c:pt>
                <c:pt idx="65">
                  <c:v>3.2049408305439413</c:v>
                </c:pt>
                <c:pt idx="66">
                  <c:v>2.8419023245962403</c:v>
                </c:pt>
                <c:pt idx="67">
                  <c:v>2.553248279045998</c:v>
                </c:pt>
                <c:pt idx="68">
                  <c:v>1.6951053112630083</c:v>
                </c:pt>
                <c:pt idx="69">
                  <c:v>1.2694560774466155</c:v>
                </c:pt>
                <c:pt idx="70">
                  <c:v>0.8453728526750172</c:v>
                </c:pt>
                <c:pt idx="71">
                  <c:v>0.633743680551113</c:v>
                </c:pt>
                <c:pt idx="72">
                  <c:v>0.5068526033617607</c:v>
                </c:pt>
                <c:pt idx="73">
                  <c:v>0.4222805175551423</c:v>
                </c:pt>
                <c:pt idx="74">
                  <c:v>0.36187602077522013</c:v>
                </c:pt>
                <c:pt idx="75">
                  <c:v>0.3165709050395955</c:v>
                </c:pt>
                <c:pt idx="76">
                  <c:v>0.281329773306569</c:v>
                </c:pt>
                <c:pt idx="77">
                  <c:v>0.25313236078049245</c:v>
                </c:pt>
                <c:pt idx="78">
                  <c:v>0.16848549294178944</c:v>
                </c:pt>
                <c:pt idx="79">
                  <c:v>0.12608830305135008</c:v>
                </c:pt>
                <c:pt idx="80">
                  <c:v>0.12091347508385845</c:v>
                </c:pt>
                <c:pt idx="81">
                  <c:v>0.08354261301285043</c:v>
                </c:pt>
                <c:pt idx="82">
                  <c:v>0.06212733531633131</c:v>
                </c:pt>
                <c:pt idx="83">
                  <c:v>0.04917271441798633</c:v>
                </c:pt>
                <c:pt idx="84">
                  <c:v>0.04045700785658452</c:v>
                </c:pt>
                <c:pt idx="85">
                  <c:v>0.0341717172958103</c:v>
                </c:pt>
                <c:pt idx="86">
                  <c:v>0.029412970173201013</c:v>
                </c:pt>
                <c:pt idx="87">
                  <c:v>0.02567868060977278</c:v>
                </c:pt>
                <c:pt idx="88">
                  <c:v>0.02266745043668315</c:v>
                </c:pt>
                <c:pt idx="89">
                  <c:v>0.01351625039400038</c:v>
                </c:pt>
                <c:pt idx="90">
                  <c:v>0.008960091486467973</c:v>
                </c:pt>
                <c:pt idx="91">
                  <c:v>0.0046859155470533875</c:v>
                </c:pt>
                <c:pt idx="92">
                  <c:v>0.002833429316443991</c:v>
                </c:pt>
                <c:pt idx="93">
                  <c:v>0.0018824279460255867</c:v>
                </c:pt>
                <c:pt idx="94">
                  <c:v>0.0013356913544017252</c:v>
                </c:pt>
                <c:pt idx="95">
                  <c:v>0.0009946067075151967</c:v>
                </c:pt>
                <c:pt idx="96">
                  <c:v>0.0007683213715607217</c:v>
                </c:pt>
                <c:pt idx="97">
                  <c:v>0.0006108511328565062</c:v>
                </c:pt>
                <c:pt idx="98">
                  <c:v>0.0004970163612957553</c:v>
                </c:pt>
              </c:numCache>
            </c:numRef>
          </c:yVal>
          <c:smooth val="0"/>
        </c:ser>
        <c:ser>
          <c:idx val="2"/>
          <c:order val="3"/>
          <c:tx>
            <c:v>Inv. Filter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Control!$AX$21:$AX$119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</c:numCache>
            </c:numRef>
          </c:yVal>
          <c:smooth val="0"/>
        </c:ser>
        <c:ser>
          <c:idx val="3"/>
          <c:order val="4"/>
          <c:tx>
            <c:v>A - V/m/s^2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Control!$AB$21:$AB$119</c:f>
              <c:numCache>
                <c:ptCount val="99"/>
                <c:pt idx="0">
                  <c:v>50660.59184142906</c:v>
                </c:pt>
                <c:pt idx="1">
                  <c:v>50660.59186675431</c:v>
                </c:pt>
                <c:pt idx="2">
                  <c:v>50660.59190220961</c:v>
                </c:pt>
                <c:pt idx="3">
                  <c:v>50660.59200351067</c:v>
                </c:pt>
                <c:pt idx="4">
                  <c:v>50660.592145331844</c:v>
                </c:pt>
                <c:pt idx="5">
                  <c:v>50660.59232767352</c:v>
                </c:pt>
                <c:pt idx="6">
                  <c:v>50660.592550535504</c:v>
                </c:pt>
                <c:pt idx="7">
                  <c:v>50660.592813917785</c:v>
                </c:pt>
                <c:pt idx="8">
                  <c:v>50660.593117820776</c:v>
                </c:pt>
                <c:pt idx="9">
                  <c:v>50660.59346224388</c:v>
                </c:pt>
                <c:pt idx="10">
                  <c:v>50660.59384718729</c:v>
                </c:pt>
                <c:pt idx="11">
                  <c:v>50660.59637971069</c:v>
                </c:pt>
                <c:pt idx="12">
                  <c:v>50660.59992524374</c:v>
                </c:pt>
                <c:pt idx="13">
                  <c:v>50660.61005534096</c:v>
                </c:pt>
                <c:pt idx="14">
                  <c:v>50660.62423748376</c:v>
                </c:pt>
                <c:pt idx="15">
                  <c:v>50660.64247167935</c:v>
                </c:pt>
                <c:pt idx="16">
                  <c:v>50660.66475793591</c:v>
                </c:pt>
                <c:pt idx="17">
                  <c:v>50660.691096264265</c:v>
                </c:pt>
                <c:pt idx="18">
                  <c:v>50660.72148667763</c:v>
                </c:pt>
                <c:pt idx="19">
                  <c:v>50660.75592918978</c:v>
                </c:pt>
                <c:pt idx="20">
                  <c:v>50660.79442381775</c:v>
                </c:pt>
                <c:pt idx="21">
                  <c:v>50661.04767940732</c:v>
                </c:pt>
                <c:pt idx="22">
                  <c:v>50661.40224148568</c:v>
                </c:pt>
                <c:pt idx="23">
                  <c:v>50662.41530333725</c:v>
                </c:pt>
                <c:pt idx="24">
                  <c:v>50663.833657984476</c:v>
                </c:pt>
                <c:pt idx="25">
                  <c:v>50665.65737349162</c:v>
                </c:pt>
                <c:pt idx="26">
                  <c:v>50667.88653738502</c:v>
                </c:pt>
                <c:pt idx="27">
                  <c:v>50670.52125666138</c:v>
                </c:pt>
                <c:pt idx="28">
                  <c:v>50673.56165780265</c:v>
                </c:pt>
                <c:pt idx="29">
                  <c:v>50677.00788678977</c:v>
                </c:pt>
                <c:pt idx="30">
                  <c:v>50680.860109121444</c:v>
                </c:pt>
                <c:pt idx="31">
                  <c:v>50706.218282282636</c:v>
                </c:pt>
                <c:pt idx="32">
                  <c:v>50741.76237759025</c:v>
                </c:pt>
                <c:pt idx="33">
                  <c:v>50843.592012779285</c:v>
                </c:pt>
                <c:pt idx="34">
                  <c:v>50986.84192600564</c:v>
                </c:pt>
                <c:pt idx="35">
                  <c:v>51172.210548556766</c:v>
                </c:pt>
                <c:pt idx="36">
                  <c:v>51400.61041477545</c:v>
                </c:pt>
                <c:pt idx="37">
                  <c:v>51673.179532029855</c:v>
                </c:pt>
                <c:pt idx="38">
                  <c:v>51991.29580545009</c:v>
                </c:pt>
                <c:pt idx="39">
                  <c:v>52356.59486481735</c:v>
                </c:pt>
                <c:pt idx="40">
                  <c:v>52770.991734180345</c:v>
                </c:pt>
                <c:pt idx="41">
                  <c:v>53236.706895870135</c:v>
                </c:pt>
                <c:pt idx="42">
                  <c:v>53756.29743485763</c:v>
                </c:pt>
                <c:pt idx="43">
                  <c:v>54332.69411365925</c:v>
                </c:pt>
                <c:pt idx="44">
                  <c:v>54969.24543095435</c:v>
                </c:pt>
                <c:pt idx="45">
                  <c:v>55669.7699701661</c:v>
                </c:pt>
                <c:pt idx="46">
                  <c:v>60307.493386836846</c:v>
                </c:pt>
                <c:pt idx="47">
                  <c:v>79143.26404120511</c:v>
                </c:pt>
                <c:pt idx="48">
                  <c:v>140585.08520304674</c:v>
                </c:pt>
                <c:pt idx="49">
                  <c:v>2533029.59105844</c:v>
                </c:pt>
                <c:pt idx="50">
                  <c:v>114966.81069662541</c:v>
                </c:pt>
                <c:pt idx="51">
                  <c:v>52749.01793511839</c:v>
                </c:pt>
                <c:pt idx="52">
                  <c:v>32467.908210203343</c:v>
                </c:pt>
                <c:pt idx="53">
                  <c:v>22613.41540424308</c:v>
                </c:pt>
                <c:pt idx="54">
                  <c:v>16885.36308592811</c:v>
                </c:pt>
                <c:pt idx="55">
                  <c:v>6332.395881516383</c:v>
                </c:pt>
                <c:pt idx="56">
                  <c:v>5010.279297314961</c:v>
                </c:pt>
                <c:pt idx="57">
                  <c:v>3377.324755356307</c:v>
                </c:pt>
                <c:pt idx="58">
                  <c:v>2110.8396693672184</c:v>
                </c:pt>
                <c:pt idx="59">
                  <c:v>1447.4369732451657</c:v>
                </c:pt>
                <c:pt idx="60">
                  <c:v>1166.0950896250029</c:v>
                </c:pt>
                <c:pt idx="61">
                  <c:v>804.1337847915817</c:v>
                </c:pt>
                <c:pt idx="62">
                  <c:v>511.72210548556774</c:v>
                </c:pt>
                <c:pt idx="63">
                  <c:v>354.2693739291104</c:v>
                </c:pt>
                <c:pt idx="64">
                  <c:v>259.79763894978976</c:v>
                </c:pt>
                <c:pt idx="65">
                  <c:v>198.668831104312</c:v>
                </c:pt>
                <c:pt idx="66">
                  <c:v>156.8438401092687</c:v>
                </c:pt>
                <c:pt idx="67">
                  <c:v>126.96883800442131</c:v>
                </c:pt>
                <c:pt idx="68">
                  <c:v>56.352147428480706</c:v>
                </c:pt>
                <c:pt idx="69">
                  <c:v>31.682667592665968</c:v>
                </c:pt>
                <c:pt idx="70">
                  <c:v>14.07629591695681</c:v>
                </c:pt>
                <c:pt idx="71">
                  <c:v>7.916954248715522</c:v>
                </c:pt>
                <c:pt idx="72">
                  <c:v>5.0665657373491815</c:v>
                </c:pt>
                <c:pt idx="73">
                  <c:v>3.518340934610173</c:v>
                </c:pt>
                <c:pt idx="74">
                  <c:v>2.5848559265356124</c:v>
                </c:pt>
                <c:pt idx="75">
                  <c:v>1.9790066575003773</c:v>
                </c:pt>
                <c:pt idx="76">
                  <c:v>1.5636467640491962</c:v>
                </c:pt>
                <c:pt idx="77">
                  <c:v>1.2665464528576489</c:v>
                </c:pt>
                <c:pt idx="78">
                  <c:v>0.5629017178922784</c:v>
                </c:pt>
                <c:pt idx="79">
                  <c:v>0.3166306774282493</c:v>
                </c:pt>
                <c:pt idx="80">
                  <c:v>0.2914242131796565</c:v>
                </c:pt>
                <c:pt idx="81">
                  <c:v>0.14072425699244756</c:v>
                </c:pt>
                <c:pt idx="82">
                  <c:v>0.07915729837911852</c:v>
                </c:pt>
                <c:pt idx="83">
                  <c:v>0.05066064247167914</c:v>
                </c:pt>
                <c:pt idx="84">
                  <c:v>0.03518099096883586</c:v>
                </c:pt>
                <c:pt idx="85">
                  <c:v>0.025847253909823273</c:v>
                </c:pt>
                <c:pt idx="86">
                  <c:v>0.019789301408793942</c:v>
                </c:pt>
                <c:pt idx="87">
                  <c:v>0.015635989954948085</c:v>
                </c:pt>
                <c:pt idx="88">
                  <c:v>0.012665151120946757</c:v>
                </c:pt>
                <c:pt idx="89">
                  <c:v>0.005628955272110927</c:v>
                </c:pt>
                <c:pt idx="90">
                  <c:v>0.0031662871866764385</c:v>
                </c:pt>
                <c:pt idx="91">
                  <c:v>0.001407238700781278</c:v>
                </c:pt>
                <c:pt idx="92">
                  <c:v>0.0007915717595715976</c:v>
                </c:pt>
                <c:pt idx="93">
                  <c:v>0.0005066059232767352</c:v>
                </c:pt>
                <c:pt idx="94">
                  <c:v>0.00035180966786741666</c:v>
                </c:pt>
                <c:pt idx="95">
                  <c:v>0.00025847240856933574</c:v>
                </c:pt>
                <c:pt idx="96">
                  <c:v>0.00019789293757430557</c:v>
                </c:pt>
                <c:pt idx="97">
                  <c:v>0.0001563598517823995</c:v>
                </c:pt>
                <c:pt idx="98">
                  <c:v>0.00012665147986948733</c:v>
                </c:pt>
              </c:numCache>
            </c:numRef>
          </c:yVal>
          <c:smooth val="0"/>
        </c:ser>
        <c:axId val="62437017"/>
        <c:axId val="31874266"/>
      </c:scatterChart>
      <c:valAx>
        <c:axId val="62437017"/>
        <c:scaling>
          <c:logBase val="10"/>
          <c:orientation val="minMax"/>
          <c:max val="100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874266"/>
        <c:crossesAt val="0.001"/>
        <c:crossBetween val="midCat"/>
        <c:dispUnits/>
        <c:majorUnit val="10"/>
        <c:minorUnit val="10"/>
      </c:valAx>
      <c:valAx>
        <c:axId val="31874266"/>
        <c:scaling>
          <c:logBase val="10"/>
          <c:orientation val="minMax"/>
          <c:max val="10000000"/>
          <c:min val="0.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437017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17825"/>
          <c:w val="0.2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of Loop Gain
Arg (AB)</a:t>
            </a:r>
          </a:p>
        </c:rich>
      </c:tx>
      <c:layout>
        <c:manualLayout>
          <c:xMode val="factor"/>
          <c:yMode val="factor"/>
          <c:x val="-0.099"/>
          <c:y val="0.04225"/>
        </c:manualLayout>
      </c:layout>
      <c:spPr>
        <a:solidFill>
          <a:srgbClr val="FFFFFF"/>
        </a:solidFill>
        <a:ln w="12700">
          <a:solidFill/>
        </a:ln>
      </c:spPr>
    </c:title>
    <c:plotArea>
      <c:layout>
        <c:manualLayout>
          <c:xMode val="edge"/>
          <c:yMode val="edge"/>
          <c:x val="0.0355"/>
          <c:y val="0.02375"/>
          <c:w val="0.942"/>
          <c:h val="0.924"/>
        </c:manualLayout>
      </c:layout>
      <c:scatterChart>
        <c:scatterStyle val="smoothMarker"/>
        <c:varyColors val="0"/>
        <c:ser>
          <c:idx val="0"/>
          <c:order val="0"/>
          <c:tx>
            <c:v>Loop Phase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Control!$AH$21:$AH$119</c:f>
              <c:numCache>
                <c:ptCount val="99"/>
                <c:pt idx="0">
                  <c:v>-88.5153615680165</c:v>
                </c:pt>
                <c:pt idx="1">
                  <c:v>-88.53289424479459</c:v>
                </c:pt>
                <c:pt idx="2">
                  <c:v>-88.39852893194674</c:v>
                </c:pt>
                <c:pt idx="3">
                  <c:v>-87.97802151333532</c:v>
                </c:pt>
                <c:pt idx="4">
                  <c:v>-87.4818702621395</c:v>
                </c:pt>
                <c:pt idx="5">
                  <c:v>-86.95577899035688</c:v>
                </c:pt>
                <c:pt idx="6">
                  <c:v>-86.41505794102369</c:v>
                </c:pt>
                <c:pt idx="7">
                  <c:v>-85.86633254338075</c:v>
                </c:pt>
                <c:pt idx="8">
                  <c:v>-85.31297079946542</c:v>
                </c:pt>
                <c:pt idx="9">
                  <c:v>-84.7568923734374</c:v>
                </c:pt>
                <c:pt idx="10">
                  <c:v>-84.19929216318663</c:v>
                </c:pt>
                <c:pt idx="11">
                  <c:v>-81.40993260504132</c:v>
                </c:pt>
                <c:pt idx="12">
                  <c:v>-78.64624236431189</c:v>
                </c:pt>
                <c:pt idx="13">
                  <c:v>-73.27213492136023</c:v>
                </c:pt>
                <c:pt idx="14">
                  <c:v>-68.1766901396166</c:v>
                </c:pt>
                <c:pt idx="15">
                  <c:v>-63.41577110992975</c:v>
                </c:pt>
                <c:pt idx="16">
                  <c:v>-59.017338742672166</c:v>
                </c:pt>
                <c:pt idx="17">
                  <c:v>-54.98764529309626</c:v>
                </c:pt>
                <c:pt idx="18">
                  <c:v>-51.317178967830316</c:v>
                </c:pt>
                <c:pt idx="19">
                  <c:v>-47.986164500782415</c:v>
                </c:pt>
                <c:pt idx="20">
                  <c:v>-44.96906979347038</c:v>
                </c:pt>
                <c:pt idx="21">
                  <c:v>-33.63209548411162</c:v>
                </c:pt>
                <c:pt idx="22">
                  <c:v>-26.476978488879958</c:v>
                </c:pt>
                <c:pt idx="23">
                  <c:v>-18.28668509298426</c:v>
                </c:pt>
                <c:pt idx="24">
                  <c:v>-13.829375109134283</c:v>
                </c:pt>
                <c:pt idx="25">
                  <c:v>-11.045600637801526</c:v>
                </c:pt>
                <c:pt idx="26">
                  <c:v>-9.141229915025844</c:v>
                </c:pt>
                <c:pt idx="27">
                  <c:v>-7.752694871034046</c:v>
                </c:pt>
                <c:pt idx="28">
                  <c:v>-6.691589137223497</c:v>
                </c:pt>
                <c:pt idx="29">
                  <c:v>-5.850949642740598</c:v>
                </c:pt>
                <c:pt idx="30">
                  <c:v>-5.165683641214521</c:v>
                </c:pt>
                <c:pt idx="31">
                  <c:v>-2.9920580599515283</c:v>
                </c:pt>
                <c:pt idx="32">
                  <c:v>-1.7642670447331985</c:v>
                </c:pt>
                <c:pt idx="33">
                  <c:v>-0.2599884190819121</c:v>
                </c:pt>
                <c:pt idx="34">
                  <c:v>0.7671078145096933</c:v>
                </c:pt>
                <c:pt idx="35">
                  <c:v>1.602606851836763</c:v>
                </c:pt>
                <c:pt idx="36">
                  <c:v>2.341741560009892</c:v>
                </c:pt>
                <c:pt idx="37">
                  <c:v>3.0252537277581535</c:v>
                </c:pt>
                <c:pt idx="38">
                  <c:v>3.673432183854985</c:v>
                </c:pt>
                <c:pt idx="39">
                  <c:v>4.29746969372495</c:v>
                </c:pt>
                <c:pt idx="40">
                  <c:v>4.9040078533592935</c:v>
                </c:pt>
                <c:pt idx="41">
                  <c:v>5.497203269510218</c:v>
                </c:pt>
                <c:pt idx="42">
                  <c:v>6.079760464890519</c:v>
                </c:pt>
                <c:pt idx="43">
                  <c:v>6.653487682699555</c:v>
                </c:pt>
                <c:pt idx="44">
                  <c:v>7.219614007779051</c:v>
                </c:pt>
                <c:pt idx="45">
                  <c:v>7.778979071153555</c:v>
                </c:pt>
                <c:pt idx="46">
                  <c:v>10.48833599279275</c:v>
                </c:pt>
                <c:pt idx="47">
                  <c:v>15.44899405691694</c:v>
                </c:pt>
                <c:pt idx="48">
                  <c:v>19.131442371357387</c:v>
                </c:pt>
                <c:pt idx="49">
                  <c:v>-63.52955444507807</c:v>
                </c:pt>
                <c:pt idx="50">
                  <c:v>-145.98892573352884</c:v>
                </c:pt>
                <c:pt idx="51">
                  <c:v>-143.39888942473436</c:v>
                </c:pt>
                <c:pt idx="52">
                  <c:v>-140.2176990962047</c:v>
                </c:pt>
                <c:pt idx="53">
                  <c:v>-137.1387735294464</c:v>
                </c:pt>
                <c:pt idx="54">
                  <c:v>-134.27909128139737</c:v>
                </c:pt>
                <c:pt idx="55">
                  <c:v>-123.30187322079567</c:v>
                </c:pt>
                <c:pt idx="56">
                  <c:v>-120.63020825439877</c:v>
                </c:pt>
                <c:pt idx="57">
                  <c:v>-116.31105537013543</c:v>
                </c:pt>
                <c:pt idx="58">
                  <c:v>-111.62759254913408</c:v>
                </c:pt>
                <c:pt idx="59">
                  <c:v>-108.31777694802356</c:v>
                </c:pt>
                <c:pt idx="60">
                  <c:v>-106.61243868072431</c:v>
                </c:pt>
                <c:pt idx="61">
                  <c:v>-103.99943316710004</c:v>
                </c:pt>
                <c:pt idx="62">
                  <c:v>-101.33236200731703</c:v>
                </c:pt>
                <c:pt idx="63">
                  <c:v>-99.53366751625065</c:v>
                </c:pt>
                <c:pt idx="64">
                  <c:v>-98.24452477105056</c:v>
                </c:pt>
                <c:pt idx="65">
                  <c:v>-97.27888713892568</c:v>
                </c:pt>
                <c:pt idx="66">
                  <c:v>-96.5310999419703</c:v>
                </c:pt>
                <c:pt idx="67">
                  <c:v>-95.93685477581327</c:v>
                </c:pt>
                <c:pt idx="68">
                  <c:v>-94.20366377706301</c:v>
                </c:pt>
                <c:pt idx="69">
                  <c:v>-93.40525857527037</c:v>
                </c:pt>
                <c:pt idx="70">
                  <c:v>-92.74847045489656</c:v>
                </c:pt>
                <c:pt idx="71">
                  <c:v>-92.56281905605421</c:v>
                </c:pt>
                <c:pt idx="72">
                  <c:v>-92.56582730813149</c:v>
                </c:pt>
                <c:pt idx="73">
                  <c:v>-92.66317294409632</c:v>
                </c:pt>
                <c:pt idx="74">
                  <c:v>-92.81439557305079</c:v>
                </c:pt>
                <c:pt idx="75">
                  <c:v>-92.99925034179822</c:v>
                </c:pt>
                <c:pt idx="76">
                  <c:v>-93.20648129710229</c:v>
                </c:pt>
                <c:pt idx="77">
                  <c:v>-93.4293282390467</c:v>
                </c:pt>
                <c:pt idx="78">
                  <c:v>-94.66710909831151</c:v>
                </c:pt>
                <c:pt idx="79">
                  <c:v>-95.9940618269298</c:v>
                </c:pt>
                <c:pt idx="80">
                  <c:v>-96.22268793606156</c:v>
                </c:pt>
                <c:pt idx="81">
                  <c:v>-98.71974562306707</c:v>
                </c:pt>
                <c:pt idx="82">
                  <c:v>-101.45166771665546</c:v>
                </c:pt>
                <c:pt idx="83">
                  <c:v>-104.14963174823602</c:v>
                </c:pt>
                <c:pt idx="84">
                  <c:v>-106.79373450660634</c:v>
                </c:pt>
                <c:pt idx="85">
                  <c:v>-109.37103790159549</c:v>
                </c:pt>
                <c:pt idx="86">
                  <c:v>-111.87227721991117</c:v>
                </c:pt>
                <c:pt idx="87">
                  <c:v>-114.29073886587555</c:v>
                </c:pt>
                <c:pt idx="88">
                  <c:v>-116.62174537470057</c:v>
                </c:pt>
                <c:pt idx="89">
                  <c:v>-126.9076937846872</c:v>
                </c:pt>
                <c:pt idx="90">
                  <c:v>-135.02834710599478</c:v>
                </c:pt>
                <c:pt idx="91">
                  <c:v>-146.32883054557016</c:v>
                </c:pt>
                <c:pt idx="92">
                  <c:v>-153.4491223768173</c:v>
                </c:pt>
                <c:pt idx="93">
                  <c:v>-158.20992935685067</c:v>
                </c:pt>
                <c:pt idx="94">
                  <c:v>-161.57450021311902</c:v>
                </c:pt>
                <c:pt idx="95">
                  <c:v>-164.06270327284687</c:v>
                </c:pt>
                <c:pt idx="96">
                  <c:v>-165.97084330913341</c:v>
                </c:pt>
                <c:pt idx="97">
                  <c:v>-167.47749164824208</c:v>
                </c:pt>
                <c:pt idx="98">
                  <c:v>-168.69573694763847</c:v>
                </c:pt>
              </c:numCache>
            </c:numRef>
          </c:yVal>
          <c:smooth val="1"/>
        </c:ser>
        <c:ser>
          <c:idx val="1"/>
          <c:order val="1"/>
          <c:tx>
            <c:v>G.C. Frequency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Control!$E$112:$E$115</c:f>
              <c:numCache>
                <c:ptCount val="4"/>
                <c:pt idx="0">
                  <c:v>2537.050059213165</c:v>
                </c:pt>
                <c:pt idx="1">
                  <c:v>2537.050059213165</c:v>
                </c:pt>
                <c:pt idx="2">
                  <c:v>2537.050059213165</c:v>
                </c:pt>
                <c:pt idx="3">
                  <c:v>2537.050059213165</c:v>
                </c:pt>
              </c:numCache>
            </c:numRef>
          </c:xVal>
          <c:yVal>
            <c:numRef>
              <c:f>Control!$F$112:$F$115</c:f>
              <c:numCache>
                <c:ptCount val="4"/>
                <c:pt idx="0">
                  <c:v>180</c:v>
                </c:pt>
                <c:pt idx="1">
                  <c:v>-92.96025143696365</c:v>
                </c:pt>
                <c:pt idx="2">
                  <c:v>-180</c:v>
                </c:pt>
                <c:pt idx="3">
                  <c:v>-300</c:v>
                </c:pt>
              </c:numCache>
            </c:numRef>
          </c:yVal>
          <c:smooth val="1"/>
        </c:ser>
        <c:ser>
          <c:idx val="2"/>
          <c:order val="2"/>
          <c:tx>
            <c:v>Phase Margin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Control!$E$116:$E$117</c:f>
              <c:numCache>
                <c:ptCount val="2"/>
                <c:pt idx="0">
                  <c:v>2537.050059213165</c:v>
                </c:pt>
                <c:pt idx="1">
                  <c:v>2537.050059213165</c:v>
                </c:pt>
              </c:numCache>
            </c:numRef>
          </c:xVal>
          <c:yVal>
            <c:numRef>
              <c:f>Control!$F$116:$F$117</c:f>
              <c:numCache>
                <c:ptCount val="2"/>
                <c:pt idx="0">
                  <c:v>-92.96025143696365</c:v>
                </c:pt>
                <c:pt idx="1">
                  <c:v>-180</c:v>
                </c:pt>
              </c:numCache>
            </c:numRef>
          </c:yVal>
          <c:smooth val="1"/>
        </c:ser>
        <c:ser>
          <c:idx val="3"/>
          <c:order val="3"/>
          <c:tx>
            <c:v>Negative Margin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Control!$E$118:$E$119</c:f>
              <c:numCache>
                <c:ptCount val="2"/>
                <c:pt idx="0">
                  <c:v>2537.050059213165</c:v>
                </c:pt>
                <c:pt idx="1">
                  <c:v>2537.050059213165</c:v>
                </c:pt>
              </c:numCache>
            </c:numRef>
          </c:xVal>
          <c:yVal>
            <c:numRef>
              <c:f>Control!$F$118:$F$119</c:f>
              <c:numCache>
                <c:ptCount val="2"/>
                <c:pt idx="0">
                  <c:v>185</c:v>
                </c:pt>
                <c:pt idx="1">
                  <c:v>185</c:v>
                </c:pt>
              </c:numCache>
            </c:numRef>
          </c:yVal>
          <c:smooth val="1"/>
        </c:ser>
        <c:axId val="58561371"/>
        <c:axId val="48392732"/>
      </c:scatterChart>
      <c:valAx>
        <c:axId val="58561371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392732"/>
        <c:crossesAt val="-300"/>
        <c:crossBetween val="midCat"/>
        <c:dispUnits/>
      </c:valAx>
      <c:valAx>
        <c:axId val="48392732"/>
        <c:scaling>
          <c:orientation val="minMax"/>
          <c:max val="18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Angle -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561371"/>
        <c:crossesAt val="1E-06"/>
        <c:crossBetween val="midCat"/>
        <c:dispUnits/>
        <c:majorUnit val="6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75"/>
          <c:y val="0.09975"/>
          <c:w val="0.1422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Velocity Response
V / m/s</a:t>
            </a:r>
          </a:p>
        </c:rich>
      </c:tx>
      <c:layout>
        <c:manualLayout>
          <c:xMode val="factor"/>
          <c:yMode val="factor"/>
          <c:x val="0.3125"/>
          <c:y val="0.0445"/>
        </c:manualLayout>
      </c:layout>
      <c:spPr>
        <a:solidFill>
          <a:srgbClr val="FFFFFF"/>
        </a:solidFill>
        <a:ln w="12700">
          <a:solidFill/>
        </a:ln>
      </c:spPr>
    </c:title>
    <c:plotArea>
      <c:layout>
        <c:manualLayout>
          <c:xMode val="edge"/>
          <c:yMode val="edge"/>
          <c:x val="0.0015"/>
          <c:y val="0.041"/>
          <c:w val="0.9985"/>
          <c:h val="0.92225"/>
        </c:manualLayout>
      </c:layout>
      <c:scatterChart>
        <c:scatterStyle val="smooth"/>
        <c:varyColors val="0"/>
        <c:ser>
          <c:idx val="1"/>
          <c:order val="0"/>
          <c:tx>
            <c:v>A - V / m/s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Control!$AD$21:$AD$119</c:f>
              <c:numCache>
                <c:ptCount val="99"/>
                <c:pt idx="0">
                  <c:v>318.30988631108914</c:v>
                </c:pt>
                <c:pt idx="1">
                  <c:v>477.4648297053185</c:v>
                </c:pt>
                <c:pt idx="2">
                  <c:v>636.6197733859692</c:v>
                </c:pt>
                <c:pt idx="3">
                  <c:v>954.9296619884336</c:v>
                </c:pt>
                <c:pt idx="4">
                  <c:v>1273.2395528822667</c:v>
                </c:pt>
                <c:pt idx="5">
                  <c:v>1591.5494468312659</c:v>
                </c:pt>
                <c:pt idx="6">
                  <c:v>1909.8593445992178</c:v>
                </c:pt>
                <c:pt idx="7">
                  <c:v>2228.1692469499117</c:v>
                </c:pt>
                <c:pt idx="8">
                  <c:v>2546.479154647159</c:v>
                </c:pt>
                <c:pt idx="9">
                  <c:v>2864.78906845472</c:v>
                </c:pt>
                <c:pt idx="10">
                  <c:v>3183.0989891363974</c:v>
                </c:pt>
                <c:pt idx="11">
                  <c:v>4774.648722389303</c:v>
                </c:pt>
                <c:pt idx="12">
                  <c:v>6366.198742063894</c:v>
                </c:pt>
                <c:pt idx="13">
                  <c:v>9549.300022574182</c:v>
                </c:pt>
                <c:pt idx="14">
                  <c:v>12732.40359446016</c:v>
                </c:pt>
                <c:pt idx="15">
                  <c:v>15915.51022151669</c:v>
                </c:pt>
                <c:pt idx="16">
                  <c:v>19098.620667540814</c:v>
                </c:pt>
                <c:pt idx="17">
                  <c:v>22281.735696332795</c:v>
                </c:pt>
                <c:pt idx="18">
                  <c:v>25464.856071696806</c:v>
                </c:pt>
                <c:pt idx="19">
                  <c:v>28647.98255744067</c:v>
                </c:pt>
                <c:pt idx="20">
                  <c:v>31831.11591737772</c:v>
                </c:pt>
                <c:pt idx="21">
                  <c:v>47746.91256383648</c:v>
                </c:pt>
                <c:pt idx="22">
                  <c:v>63662.995640963556</c:v>
                </c:pt>
                <c:pt idx="23">
                  <c:v>95496.40303804765</c:v>
                </c:pt>
                <c:pt idx="24">
                  <c:v>127332.10209809546</c:v>
                </c:pt>
                <c:pt idx="25">
                  <c:v>159170.8569938588</c:v>
                </c:pt>
                <c:pt idx="26">
                  <c:v>191013.43214252396</c:v>
                </c:pt>
                <c:pt idx="27">
                  <c:v>222860.59226688996</c:v>
                </c:pt>
                <c:pt idx="28">
                  <c:v>254713.10245661158</c:v>
                </c:pt>
                <c:pt idx="29">
                  <c:v>286571.72822949133</c:v>
                </c:pt>
                <c:pt idx="30">
                  <c:v>318437.23559285584</c:v>
                </c:pt>
                <c:pt idx="31">
                  <c:v>477894.8485408188</c:v>
                </c:pt>
                <c:pt idx="32">
                  <c:v>637639.7916625459</c:v>
                </c:pt>
                <c:pt idx="33">
                  <c:v>958379.1308967845</c:v>
                </c:pt>
                <c:pt idx="34">
                  <c:v>1281439.104195867</c:v>
                </c:pt>
                <c:pt idx="35">
                  <c:v>1607622.4072729605</c:v>
                </c:pt>
                <c:pt idx="36">
                  <c:v>1937757.3608290749</c:v>
                </c:pt>
                <c:pt idx="37">
                  <c:v>2272705.1368763205</c:v>
                </c:pt>
                <c:pt idx="38">
                  <c:v>2613367.567248253</c:v>
                </c:pt>
                <c:pt idx="39">
                  <c:v>2960695.688297171</c:v>
                </c:pt>
                <c:pt idx="40">
                  <c:v>3315699.1990949735</c:v>
                </c:pt>
                <c:pt idx="41">
                  <c:v>3679457.040278331</c:v>
                </c:pt>
                <c:pt idx="42">
                  <c:v>4053129.3385328776</c:v>
                </c:pt>
                <c:pt idx="43">
                  <c:v>4437971.009607546</c:v>
                </c:pt>
                <c:pt idx="44">
                  <c:v>4835347.3733392935</c:v>
                </c:pt>
                <c:pt idx="45">
                  <c:v>5246752.210959224</c:v>
                </c:pt>
                <c:pt idx="46">
                  <c:v>7578463.127220066</c:v>
                </c:pt>
                <c:pt idx="47">
                  <c:v>14918153.813578032</c:v>
                </c:pt>
                <c:pt idx="48">
                  <c:v>35332885.67025494</c:v>
                </c:pt>
                <c:pt idx="49">
                  <c:v>795774715.4594754</c:v>
                </c:pt>
                <c:pt idx="50">
                  <c:v>43341466.54694002</c:v>
                </c:pt>
                <c:pt idx="51">
                  <c:v>23200229.812066182</c:v>
                </c:pt>
                <c:pt idx="52">
                  <c:v>16320150.705696408</c:v>
                </c:pt>
                <c:pt idx="53">
                  <c:v>12787585.147177977</c:v>
                </c:pt>
                <c:pt idx="54">
                  <c:v>10609386.524789607</c:v>
                </c:pt>
                <c:pt idx="55">
                  <c:v>5968142.51429824</c:v>
                </c:pt>
                <c:pt idx="56">
                  <c:v>5246752.210959236</c:v>
                </c:pt>
                <c:pt idx="57">
                  <c:v>4244071.456085728</c:v>
                </c:pt>
                <c:pt idx="58">
                  <c:v>3315699.1990949805</c:v>
                </c:pt>
                <c:pt idx="59">
                  <c:v>2728354.4170087553</c:v>
                </c:pt>
                <c:pt idx="60">
                  <c:v>2442263.842193096</c:v>
                </c:pt>
                <c:pt idx="61">
                  <c:v>2021008.632643671</c:v>
                </c:pt>
                <c:pt idx="62">
                  <c:v>1607622.4072729608</c:v>
                </c:pt>
                <c:pt idx="63">
                  <c:v>1335564.0750330582</c:v>
                </c:pt>
                <c:pt idx="64">
                  <c:v>1142649.695522486</c:v>
                </c:pt>
                <c:pt idx="65">
                  <c:v>998618.4644713248</c:v>
                </c:pt>
                <c:pt idx="66">
                  <c:v>886931.0205265633</c:v>
                </c:pt>
                <c:pt idx="67">
                  <c:v>797768.7374190451</c:v>
                </c:pt>
                <c:pt idx="68">
                  <c:v>531106.4771259718</c:v>
                </c:pt>
                <c:pt idx="69">
                  <c:v>398136.1430209873</c:v>
                </c:pt>
                <c:pt idx="70">
                  <c:v>265331.92705480504</c:v>
                </c:pt>
                <c:pt idx="71">
                  <c:v>198974.76245256944</c:v>
                </c:pt>
                <c:pt idx="72">
                  <c:v>159170.85699385943</c:v>
                </c:pt>
                <c:pt idx="73">
                  <c:v>132638.3283959468</c:v>
                </c:pt>
                <c:pt idx="74">
                  <c:v>113687.90145149245</c:v>
                </c:pt>
                <c:pt idx="75">
                  <c:v>99475.72442573562</c:v>
                </c:pt>
                <c:pt idx="76">
                  <c:v>88422.14136143534</c:v>
                </c:pt>
                <c:pt idx="77">
                  <c:v>79579.46063455602</c:v>
                </c:pt>
                <c:pt idx="78">
                  <c:v>53052.23704870368</c:v>
                </c:pt>
                <c:pt idx="79">
                  <c:v>39788.9844043899</c:v>
                </c:pt>
                <c:pt idx="80">
                  <c:v>38172.36495537834</c:v>
                </c:pt>
                <c:pt idx="81">
                  <c:v>26525.897516961322</c:v>
                </c:pt>
                <c:pt idx="82">
                  <c:v>19894.39896526832</c:v>
                </c:pt>
                <c:pt idx="83">
                  <c:v>15915.510221516623</c:v>
                </c:pt>
                <c:pt idx="84">
                  <c:v>13262.921132844433</c:v>
                </c:pt>
                <c:pt idx="85">
                  <c:v>11368.216019799918</c:v>
                </c:pt>
                <c:pt idx="86">
                  <c:v>9947.187828086591</c:v>
                </c:pt>
                <c:pt idx="87">
                  <c:v>8841.944011332367</c:v>
                </c:pt>
                <c:pt idx="88">
                  <c:v>7957.7491436341725</c:v>
                </c:pt>
                <c:pt idx="89">
                  <c:v>5305.165359074767</c:v>
                </c:pt>
                <c:pt idx="90">
                  <c:v>3978.873825927277</c:v>
                </c:pt>
                <c:pt idx="91">
                  <c:v>2652.5824585330247</c:v>
                </c:pt>
                <c:pt idx="92">
                  <c:v>1989.4368197274214</c:v>
                </c:pt>
                <c:pt idx="93">
                  <c:v>1591.5494468312654</c:v>
                </c:pt>
                <c:pt idx="94">
                  <c:v>1326.2912016409696</c:v>
                </c:pt>
                <c:pt idx="95">
                  <c:v>1136.8210278839183</c:v>
                </c:pt>
                <c:pt idx="96">
                  <c:v>994.718398209187</c:v>
                </c:pt>
                <c:pt idx="97">
                  <c:v>884.1941310167554</c:v>
                </c:pt>
                <c:pt idx="98">
                  <c:v>795.7747174485139</c:v>
                </c:pt>
              </c:numCache>
            </c:numRef>
          </c:yVal>
          <c:smooth val="1"/>
        </c:ser>
        <c:ser>
          <c:idx val="0"/>
          <c:order val="1"/>
          <c:tx>
            <c:v>1/B - V / m/s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Control!$Q$21:$Q$119</c:f>
              <c:numCache>
                <c:ptCount val="99"/>
                <c:pt idx="0">
                  <c:v>0.031413338332413346</c:v>
                </c:pt>
                <c:pt idx="1">
                  <c:v>0.07067063304924492</c:v>
                </c:pt>
                <c:pt idx="2">
                  <c:v>0.12562262370773009</c:v>
                </c:pt>
                <c:pt idx="3">
                  <c:v>0.282575488395282</c:v>
                </c:pt>
                <c:pt idx="4">
                  <c:v>0.5021781639005878</c:v>
                </c:pt>
                <c:pt idx="5">
                  <c:v>0.784299668182792</c:v>
                </c:pt>
                <c:pt idx="6">
                  <c:v>1.128772098139221</c:v>
                </c:pt>
                <c:pt idx="7">
                  <c:v>1.53539100320974</c:v>
                </c:pt>
                <c:pt idx="8">
                  <c:v>2.0039158384681133</c:v>
                </c:pt>
                <c:pt idx="9">
                  <c:v>2.5340704951338435</c:v>
                </c:pt>
                <c:pt idx="10">
                  <c:v>3.1255439060939336</c:v>
                </c:pt>
                <c:pt idx="11">
                  <c:v>6.98944894137181</c:v>
                </c:pt>
                <c:pt idx="12">
                  <c:v>12.320932376349276</c:v>
                </c:pt>
                <c:pt idx="13">
                  <c:v>27.080185540097542</c:v>
                </c:pt>
                <c:pt idx="14">
                  <c:v>46.67036548631482</c:v>
                </c:pt>
                <c:pt idx="15">
                  <c:v>70.25325431339172</c:v>
                </c:pt>
                <c:pt idx="16">
                  <c:v>96.99448823709557</c:v>
                </c:pt>
                <c:pt idx="17">
                  <c:v>126.13895964983803</c:v>
                </c:pt>
                <c:pt idx="18">
                  <c:v>157.04902527163813</c:v>
                </c:pt>
                <c:pt idx="19">
                  <c:v>189.2133391856493</c:v>
                </c:pt>
                <c:pt idx="20">
                  <c:v>222.23754599521033</c:v>
                </c:pt>
                <c:pt idx="21">
                  <c:v>392.3466507522561</c:v>
                </c:pt>
                <c:pt idx="22">
                  <c:v>562.4164743497237</c:v>
                </c:pt>
                <c:pt idx="23">
                  <c:v>894.9008308662607</c:v>
                </c:pt>
                <c:pt idx="24">
                  <c:v>1220.2453876394873</c:v>
                </c:pt>
                <c:pt idx="25">
                  <c:v>1541.7476732039513</c:v>
                </c:pt>
                <c:pt idx="26">
                  <c:v>1861.0797336775827</c:v>
                </c:pt>
                <c:pt idx="27">
                  <c:v>2179.089829242326</c:v>
                </c:pt>
                <c:pt idx="28">
                  <c:v>2496.2404344105794</c:v>
                </c:pt>
                <c:pt idx="29">
                  <c:v>2812.801712855259</c:v>
                </c:pt>
                <c:pt idx="30">
                  <c:v>3128.9408851987846</c:v>
                </c:pt>
                <c:pt idx="31">
                  <c:v>4706.107966655875</c:v>
                </c:pt>
                <c:pt idx="32">
                  <c:v>6280.356029309775</c:v>
                </c:pt>
                <c:pt idx="33">
                  <c:v>9424.71969361334</c:v>
                </c:pt>
                <c:pt idx="34">
                  <c:v>12564.945836915353</c:v>
                </c:pt>
                <c:pt idx="35">
                  <c:v>15700.87884510998</c:v>
                </c:pt>
                <c:pt idx="36">
                  <c:v>18831.848503419085</c:v>
                </c:pt>
                <c:pt idx="37">
                  <c:v>21957.04233023502</c:v>
                </c:pt>
                <c:pt idx="38">
                  <c:v>25075.600117043017</c:v>
                </c:pt>
                <c:pt idx="39">
                  <c:v>28186.64638093557</c:v>
                </c:pt>
                <c:pt idx="40">
                  <c:v>31289.30411955739</c:v>
                </c:pt>
                <c:pt idx="41">
                  <c:v>34382.70173202265</c:v>
                </c:pt>
                <c:pt idx="42">
                  <c:v>37465.97706410377</c:v>
                </c:pt>
                <c:pt idx="43">
                  <c:v>40538.280099496</c:v>
                </c:pt>
                <c:pt idx="44">
                  <c:v>43598.77494798564</c:v>
                </c:pt>
                <c:pt idx="45">
                  <c:v>46646.64143285826</c:v>
                </c:pt>
                <c:pt idx="46">
                  <c:v>61669.097475198934</c:v>
                </c:pt>
                <c:pt idx="47">
                  <c:v>90351.73574838197</c:v>
                </c:pt>
                <c:pt idx="48">
                  <c:v>116768.15342292254</c:v>
                </c:pt>
                <c:pt idx="49">
                  <c:v>140594.5209480955</c:v>
                </c:pt>
                <c:pt idx="50">
                  <c:v>161730.9888437559</c:v>
                </c:pt>
                <c:pt idx="51">
                  <c:v>180249.74664891293</c:v>
                </c:pt>
                <c:pt idx="52">
                  <c:v>196335.07384483717</c:v>
                </c:pt>
                <c:pt idx="53">
                  <c:v>210230.52670165407</c:v>
                </c:pt>
                <c:pt idx="54">
                  <c:v>222199.66206446776</c:v>
                </c:pt>
                <c:pt idx="55">
                  <c:v>261386.2891064372</c:v>
                </c:pt>
                <c:pt idx="56">
                  <c:v>269361.6765574687</c:v>
                </c:pt>
                <c:pt idx="57">
                  <c:v>280936.51294062</c:v>
                </c:pt>
                <c:pt idx="58">
                  <c:v>291604.2906613792</c:v>
                </c:pt>
                <c:pt idx="59">
                  <c:v>297933.6895558046</c:v>
                </c:pt>
                <c:pt idx="60">
                  <c:v>300797.26175958896</c:v>
                </c:pt>
                <c:pt idx="61">
                  <c:v>304654.4081938489</c:v>
                </c:pt>
                <c:pt idx="62">
                  <c:v>307923.2634301928</c:v>
                </c:pt>
                <c:pt idx="63">
                  <c:v>309743.86510366364</c:v>
                </c:pt>
                <c:pt idx="64">
                  <c:v>310857.6036700811</c:v>
                </c:pt>
                <c:pt idx="65">
                  <c:v>311587.1765725671</c:v>
                </c:pt>
                <c:pt idx="66">
                  <c:v>312090.6066511535</c:v>
                </c:pt>
                <c:pt idx="67">
                  <c:v>312452.4723921973</c:v>
                </c:pt>
                <c:pt idx="68">
                  <c:v>313317.68804986525</c:v>
                </c:pt>
                <c:pt idx="69">
                  <c:v>313627.3480385385</c:v>
                </c:pt>
                <c:pt idx="70">
                  <c:v>313863.7894690066</c:v>
                </c:pt>
                <c:pt idx="71">
                  <c:v>313967.25294292165</c:v>
                </c:pt>
                <c:pt idx="72">
                  <c:v>314037.76154672925</c:v>
                </c:pt>
                <c:pt idx="73">
                  <c:v>314100.04222756135</c:v>
                </c:pt>
                <c:pt idx="74">
                  <c:v>314162.5720542284</c:v>
                </c:pt>
                <c:pt idx="75">
                  <c:v>314228.8910387823</c:v>
                </c:pt>
                <c:pt idx="76">
                  <c:v>314300.6882001092</c:v>
                </c:pt>
                <c:pt idx="77">
                  <c:v>314378.8506107468</c:v>
                </c:pt>
                <c:pt idx="78">
                  <c:v>314877.1809513163</c:v>
                </c:pt>
                <c:pt idx="79">
                  <c:v>315564.4373148999</c:v>
                </c:pt>
                <c:pt idx="80">
                  <c:v>315699.8417993064</c:v>
                </c:pt>
                <c:pt idx="81">
                  <c:v>317513.38102006854</c:v>
                </c:pt>
                <c:pt idx="82">
                  <c:v>320219.7368352078</c:v>
                </c:pt>
                <c:pt idx="83">
                  <c:v>323665.4801325158</c:v>
                </c:pt>
                <c:pt idx="84">
                  <c:v>327827.5343510316</c:v>
                </c:pt>
                <c:pt idx="85">
                  <c:v>332679.0960310834</c:v>
                </c:pt>
                <c:pt idx="86">
                  <c:v>338190.5251156766</c:v>
                </c:pt>
                <c:pt idx="87">
                  <c:v>344330.1525377939</c:v>
                </c:pt>
                <c:pt idx="88">
                  <c:v>351065.02894370555</c:v>
                </c:pt>
                <c:pt idx="89">
                  <c:v>392502.7433221892</c:v>
                </c:pt>
                <c:pt idx="90">
                  <c:v>444066.20534359396</c:v>
                </c:pt>
                <c:pt idx="91">
                  <c:v>566075.6007864956</c:v>
                </c:pt>
                <c:pt idx="92">
                  <c:v>702130.3860243127</c:v>
                </c:pt>
                <c:pt idx="93">
                  <c:v>845476.9544786784</c:v>
                </c:pt>
                <c:pt idx="94">
                  <c:v>992962.3316570988</c:v>
                </c:pt>
                <c:pt idx="95">
                  <c:v>1142985.4828990775</c:v>
                </c:pt>
                <c:pt idx="96">
                  <c:v>1294664.4920062239</c:v>
                </c:pt>
                <c:pt idx="97">
                  <c:v>1447478.908456832</c:v>
                </c:pt>
                <c:pt idx="98">
                  <c:v>1601103.6646235853</c:v>
                </c:pt>
              </c:numCache>
            </c:numRef>
          </c:yVal>
          <c:smooth val="1"/>
        </c:ser>
        <c:ser>
          <c:idx val="2"/>
          <c:order val="2"/>
          <c:tx>
            <c:v>Vel Resp - V / m/s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Control!$AO$21:$AO$119</c:f>
              <c:numCache>
                <c:ptCount val="99"/>
                <c:pt idx="0">
                  <c:v>0.031413257859043545</c:v>
                </c:pt>
                <c:pt idx="1">
                  <c:v>0.07067036446597508</c:v>
                </c:pt>
                <c:pt idx="2">
                  <c:v>0.12562192848747578</c:v>
                </c:pt>
                <c:pt idx="3">
                  <c:v>0.2825725258030132</c:v>
                </c:pt>
                <c:pt idx="4">
                  <c:v>0.5021694230275965</c:v>
                </c:pt>
                <c:pt idx="5">
                  <c:v>0.78427904829509</c:v>
                </c:pt>
                <c:pt idx="6">
                  <c:v>1.1287301888082992</c:v>
                </c:pt>
                <c:pt idx="7">
                  <c:v>1.5353143793101267</c:v>
                </c:pt>
                <c:pt idx="8">
                  <c:v>2.0037863731325527</c:v>
                </c:pt>
                <c:pt idx="9">
                  <c:v>2.533864693632993</c:v>
                </c:pt>
                <c:pt idx="10">
                  <c:v>3.125232263463243</c:v>
                </c:pt>
                <c:pt idx="11">
                  <c:v>6.9879137232947395</c:v>
                </c:pt>
                <c:pt idx="12">
                  <c:v>12.316217632383122</c:v>
                </c:pt>
                <c:pt idx="13">
                  <c:v>27.058000384032425</c:v>
                </c:pt>
                <c:pt idx="14">
                  <c:v>46.60658868986771</c:v>
                </c:pt>
                <c:pt idx="15">
                  <c:v>70.11420664875486</c:v>
                </c:pt>
                <c:pt idx="16">
                  <c:v>96.74065863386544</c:v>
                </c:pt>
                <c:pt idx="17">
                  <c:v>125.72923534357871</c:v>
                </c:pt>
                <c:pt idx="18">
                  <c:v>156.44418849191322</c:v>
                </c:pt>
                <c:pt idx="19">
                  <c:v>188.37832844430744</c:v>
                </c:pt>
                <c:pt idx="20">
                  <c:v>221.14252894373223</c:v>
                </c:pt>
                <c:pt idx="21">
                  <c:v>389.67657486756633</c:v>
                </c:pt>
                <c:pt idx="22">
                  <c:v>557.9996969550723</c:v>
                </c:pt>
                <c:pt idx="23">
                  <c:v>887.0046493102287</c:v>
                </c:pt>
                <c:pt idx="24">
                  <c:v>1208.9921219791759</c:v>
                </c:pt>
                <c:pt idx="25">
                  <c:v>1527.226213338766</c:v>
                </c:pt>
                <c:pt idx="26">
                  <c:v>1843.3455817709444</c:v>
                </c:pt>
                <c:pt idx="27">
                  <c:v>2158.1785813630063</c:v>
                </c:pt>
                <c:pt idx="28">
                  <c:v>2472.1760533180095</c:v>
                </c:pt>
                <c:pt idx="29">
                  <c:v>2785.601120542743</c:v>
                </c:pt>
                <c:pt idx="30">
                  <c:v>3098.616565102485</c:v>
                </c:pt>
                <c:pt idx="31">
                  <c:v>4660.2774613153015</c:v>
                </c:pt>
                <c:pt idx="32">
                  <c:v>6219.130212497423</c:v>
                </c:pt>
                <c:pt idx="33">
                  <c:v>9332.940306184792</c:v>
                </c:pt>
                <c:pt idx="34">
                  <c:v>12442.949319626885</c:v>
                </c:pt>
                <c:pt idx="35">
                  <c:v>15549.077273957715</c:v>
                </c:pt>
                <c:pt idx="36">
                  <c:v>18650.743534988065</c:v>
                </c:pt>
                <c:pt idx="37">
                  <c:v>21747.22817519387</c:v>
                </c:pt>
                <c:pt idx="38">
                  <c:v>24837.763558760045</c:v>
                </c:pt>
                <c:pt idx="39">
                  <c:v>27921.565643000024</c:v>
                </c:pt>
                <c:pt idx="40">
                  <c:v>30997.84713219018</c:v>
                </c:pt>
                <c:pt idx="41">
                  <c:v>34065.824004607886</c:v>
                </c:pt>
                <c:pt idx="42">
                  <c:v>37124.71925715305</c:v>
                </c:pt>
                <c:pt idx="43">
                  <c:v>40173.76534600076</c:v>
                </c:pt>
                <c:pt idx="44">
                  <c:v>43212.20595594784</c:v>
                </c:pt>
                <c:pt idx="45">
                  <c:v>46239.29739264798</c:v>
                </c:pt>
                <c:pt idx="46">
                  <c:v>61179.505842866034</c:v>
                </c:pt>
                <c:pt idx="47">
                  <c:v>89827.23843903092</c:v>
                </c:pt>
                <c:pt idx="48">
                  <c:v>116404.63816648646</c:v>
                </c:pt>
                <c:pt idx="49">
                  <c:v>140583.44810246633</c:v>
                </c:pt>
                <c:pt idx="50">
                  <c:v>162232.45086984563</c:v>
                </c:pt>
                <c:pt idx="51">
                  <c:v>181379.09455663513</c:v>
                </c:pt>
                <c:pt idx="52">
                  <c:v>198161.14811350676</c:v>
                </c:pt>
                <c:pt idx="53">
                  <c:v>212781.22794180547</c:v>
                </c:pt>
                <c:pt idx="54">
                  <c:v>225470.7555612869</c:v>
                </c:pt>
                <c:pt idx="55">
                  <c:v>267638.45140457194</c:v>
                </c:pt>
                <c:pt idx="56">
                  <c:v>276312.42787441716</c:v>
                </c:pt>
                <c:pt idx="57">
                  <c:v>288889.2253720852</c:v>
                </c:pt>
                <c:pt idx="58">
                  <c:v>300303.14217259927</c:v>
                </c:pt>
                <c:pt idx="59">
                  <c:v>306759.6323092035</c:v>
                </c:pt>
                <c:pt idx="60">
                  <c:v>309468.5400933758</c:v>
                </c:pt>
                <c:pt idx="61">
                  <c:v>312603.35649222945</c:v>
                </c:pt>
                <c:pt idx="62">
                  <c:v>314041.93890374113</c:v>
                </c:pt>
                <c:pt idx="63">
                  <c:v>313374.5996401877</c:v>
                </c:pt>
                <c:pt idx="64">
                  <c:v>311483.02470524464</c:v>
                </c:pt>
                <c:pt idx="65">
                  <c:v>308776.13364559034</c:v>
                </c:pt>
                <c:pt idx="66">
                  <c:v>305476.74398892355</c:v>
                </c:pt>
                <c:pt idx="67">
                  <c:v>301724.4281194456</c:v>
                </c:pt>
                <c:pt idx="68">
                  <c:v>278955.6784155798</c:v>
                </c:pt>
                <c:pt idx="69">
                  <c:v>253805.58324356013</c:v>
                </c:pt>
                <c:pt idx="70">
                  <c:v>207596.05878599014</c:v>
                </c:pt>
                <c:pt idx="71">
                  <c:v>171571.04745071675</c:v>
                </c:pt>
                <c:pt idx="72">
                  <c:v>144610.0468088507</c:v>
                </c:pt>
                <c:pt idx="73">
                  <c:v>124277.39832974212</c:v>
                </c:pt>
                <c:pt idx="74">
                  <c:v>108623.65469879947</c:v>
                </c:pt>
                <c:pt idx="75">
                  <c:v>96297.87910234343</c:v>
                </c:pt>
                <c:pt idx="76">
                  <c:v>86386.89496069368</c:v>
                </c:pt>
                <c:pt idx="77">
                  <c:v>78268.0088070978</c:v>
                </c:pt>
                <c:pt idx="78">
                  <c:v>53026.5451482169</c:v>
                </c:pt>
                <c:pt idx="79">
                  <c:v>39998.23009521482</c:v>
                </c:pt>
                <c:pt idx="80">
                  <c:v>38395.559765835365</c:v>
                </c:pt>
                <c:pt idx="81">
                  <c:v>26772.687741348123</c:v>
                </c:pt>
                <c:pt idx="82">
                  <c:v>20104.68669714084</c:v>
                </c:pt>
                <c:pt idx="83">
                  <c:v>16090.423197079863</c:v>
                </c:pt>
                <c:pt idx="84">
                  <c:v>13409.493321542837</c:v>
                </c:pt>
                <c:pt idx="85">
                  <c:v>11492.43527137786</c:v>
                </c:pt>
                <c:pt idx="86">
                  <c:v>10053.56346580924</c:v>
                </c:pt>
                <c:pt idx="87">
                  <c:v>8933.842628627948</c:v>
                </c:pt>
                <c:pt idx="88">
                  <c:v>8037.723216260128</c:v>
                </c:pt>
                <c:pt idx="89">
                  <c:v>5348.261665709869</c:v>
                </c:pt>
                <c:pt idx="90">
                  <c:v>4004.1749929555635</c:v>
                </c:pt>
                <c:pt idx="91">
                  <c:v>2662.9583736944232</c:v>
                </c:pt>
                <c:pt idx="92">
                  <c:v>1994.4904707161234</c:v>
                </c:pt>
                <c:pt idx="93">
                  <c:v>1594.3358424303758</c:v>
                </c:pt>
                <c:pt idx="94">
                  <c:v>1327.9739152251136</c:v>
                </c:pt>
                <c:pt idx="95">
                  <c:v>1137.9092553998266</c:v>
                </c:pt>
                <c:pt idx="96">
                  <c:v>995.4604013529917</c:v>
                </c:pt>
                <c:pt idx="97">
                  <c:v>884.7217000867336</c:v>
                </c:pt>
                <c:pt idx="98">
                  <c:v>796.1627429134008</c:v>
                </c:pt>
              </c:numCache>
            </c:numRef>
          </c:yVal>
          <c:smooth val="1"/>
        </c:ser>
        <c:ser>
          <c:idx val="3"/>
          <c:order val="3"/>
          <c:tx>
            <c:v>Loop Gain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Control!$AF$21:$AF$119</c:f>
              <c:numCache>
                <c:ptCount val="99"/>
                <c:pt idx="0">
                  <c:v>10132.953172399613</c:v>
                </c:pt>
                <c:pt idx="1">
                  <c:v>6756.198566561734</c:v>
                </c:pt>
                <c:pt idx="2">
                  <c:v>5067.715946349842</c:v>
                </c:pt>
                <c:pt idx="3">
                  <c:v>3379.378966701546</c:v>
                </c:pt>
                <c:pt idx="4">
                  <c:v>2535.4339244713196</c:v>
                </c:pt>
                <c:pt idx="5">
                  <c:v>2029.261915307015</c:v>
                </c:pt>
                <c:pt idx="6">
                  <c:v>1691.979583609141</c:v>
                </c:pt>
                <c:pt idx="7">
                  <c:v>1451.2063977787525</c:v>
                </c:pt>
                <c:pt idx="8">
                  <c:v>1270.7515484252153</c:v>
                </c:pt>
                <c:pt idx="9">
                  <c:v>1130.5088291568675</c:v>
                </c:pt>
                <c:pt idx="10">
                  <c:v>1018.4144215444351</c:v>
                </c:pt>
                <c:pt idx="11">
                  <c:v>683.1223408940439</c:v>
                </c:pt>
                <c:pt idx="12">
                  <c:v>516.6978072442123</c:v>
                </c:pt>
                <c:pt idx="13">
                  <c:v>352.63052420503453</c:v>
                </c:pt>
                <c:pt idx="14">
                  <c:v>272.8155964022538</c:v>
                </c:pt>
                <c:pt idx="15">
                  <c:v>226.5448110135856</c:v>
                </c:pt>
                <c:pt idx="16">
                  <c:v>196.90418512086734</c:v>
                </c:pt>
                <c:pt idx="17">
                  <c:v>176.64435919074498</c:v>
                </c:pt>
                <c:pt idx="18">
                  <c:v>162.14590334229555</c:v>
                </c:pt>
                <c:pt idx="19">
                  <c:v>151.40572372295796</c:v>
                </c:pt>
                <c:pt idx="20">
                  <c:v>143.23014491018392</c:v>
                </c:pt>
                <c:pt idx="21">
                  <c:v>121.69573124248686</c:v>
                </c:pt>
                <c:pt idx="22">
                  <c:v>113.19546731729682</c:v>
                </c:pt>
                <c:pt idx="23">
                  <c:v>106.71171569436068</c:v>
                </c:pt>
                <c:pt idx="24">
                  <c:v>104.34958688466229</c:v>
                </c:pt>
                <c:pt idx="25">
                  <c:v>103.24053654193658</c:v>
                </c:pt>
                <c:pt idx="26">
                  <c:v>102.63581333244211</c:v>
                </c:pt>
                <c:pt idx="27">
                  <c:v>102.27232915146922</c:v>
                </c:pt>
                <c:pt idx="28">
                  <c:v>102.03868944088964</c:v>
                </c:pt>
                <c:pt idx="29">
                  <c:v>101.88124065759166</c:v>
                </c:pt>
                <c:pt idx="30">
                  <c:v>101.77157296233919</c:v>
                </c:pt>
                <c:pt idx="31">
                  <c:v>101.54778681807598</c:v>
                </c:pt>
                <c:pt idx="32">
                  <c:v>101.52924271916214</c:v>
                </c:pt>
                <c:pt idx="33">
                  <c:v>101.68781269391265</c:v>
                </c:pt>
                <c:pt idx="34">
                  <c:v>101.98524695833075</c:v>
                </c:pt>
                <c:pt idx="35">
                  <c:v>102.39060011431528</c:v>
                </c:pt>
                <c:pt idx="36">
                  <c:v>102.89788389478943</c:v>
                </c:pt>
                <c:pt idx="37">
                  <c:v>103.50688870999674</c:v>
                </c:pt>
                <c:pt idx="38">
                  <c:v>104.2195423060699</c:v>
                </c:pt>
                <c:pt idx="39">
                  <c:v>105.0389481701401</c:v>
                </c:pt>
                <c:pt idx="40">
                  <c:v>105.96909366937597</c:v>
                </c:pt>
                <c:pt idx="41">
                  <c:v>107.01477356130636</c:v>
                </c:pt>
                <c:pt idx="42">
                  <c:v>108.18159984452069</c:v>
                </c:pt>
                <c:pt idx="43">
                  <c:v>109.47605568650422</c:v>
                </c:pt>
                <c:pt idx="44">
                  <c:v>110.90557886335063</c:v>
                </c:pt>
                <c:pt idx="45">
                  <c:v>112.4786704850175</c:v>
                </c:pt>
                <c:pt idx="46">
                  <c:v>122.88915254950601</c:v>
                </c:pt>
                <c:pt idx="47">
                  <c:v>165.1119780932948</c:v>
                </c:pt>
                <c:pt idx="48">
                  <c:v>302.59008671896026</c:v>
                </c:pt>
                <c:pt idx="49">
                  <c:v>5660.069184013635</c:v>
                </c:pt>
                <c:pt idx="50">
                  <c:v>267.9849227213409</c:v>
                </c:pt>
                <c:pt idx="51">
                  <c:v>128.7115807006107</c:v>
                </c:pt>
                <c:pt idx="52">
                  <c:v>83.12396957964908</c:v>
                </c:pt>
                <c:pt idx="53">
                  <c:v>60.82649055684149</c:v>
                </c:pt>
                <c:pt idx="54">
                  <c:v>47.74708667968838</c:v>
                </c:pt>
                <c:pt idx="55">
                  <c:v>22.832653291420364</c:v>
                </c:pt>
                <c:pt idx="56">
                  <c:v>19.47846582340319</c:v>
                </c:pt>
                <c:pt idx="57">
                  <c:v>15.106870273508278</c:v>
                </c:pt>
                <c:pt idx="58">
                  <c:v>11.370543250837455</c:v>
                </c:pt>
                <c:pt idx="59">
                  <c:v>9.157589465885897</c:v>
                </c:pt>
                <c:pt idx="60">
                  <c:v>8.119302110353205</c:v>
                </c:pt>
                <c:pt idx="61">
                  <c:v>6.633774461447215</c:v>
                </c:pt>
                <c:pt idx="62">
                  <c:v>5.22085401851236</c:v>
                </c:pt>
                <c:pt idx="63">
                  <c:v>4.311833826268289</c:v>
                </c:pt>
                <c:pt idx="64">
                  <c:v>3.6757977994812108</c:v>
                </c:pt>
                <c:pt idx="65">
                  <c:v>3.2049408305439413</c:v>
                </c:pt>
                <c:pt idx="66">
                  <c:v>2.8419023245962403</c:v>
                </c:pt>
                <c:pt idx="67">
                  <c:v>2.553248279045998</c:v>
                </c:pt>
                <c:pt idx="68">
                  <c:v>1.6951053112630083</c:v>
                </c:pt>
                <c:pt idx="69">
                  <c:v>1.2694560774466155</c:v>
                </c:pt>
                <c:pt idx="70">
                  <c:v>0.8453728526750172</c:v>
                </c:pt>
                <c:pt idx="71">
                  <c:v>0.633743680551113</c:v>
                </c:pt>
                <c:pt idx="72">
                  <c:v>0.5068526033617607</c:v>
                </c:pt>
                <c:pt idx="73">
                  <c:v>0.4222805175551423</c:v>
                </c:pt>
                <c:pt idx="74">
                  <c:v>0.36187602077522013</c:v>
                </c:pt>
                <c:pt idx="75">
                  <c:v>0.3165709050395955</c:v>
                </c:pt>
                <c:pt idx="76">
                  <c:v>0.281329773306569</c:v>
                </c:pt>
                <c:pt idx="77">
                  <c:v>0.25313236078049245</c:v>
                </c:pt>
                <c:pt idx="78">
                  <c:v>0.16848549294178944</c:v>
                </c:pt>
                <c:pt idx="79">
                  <c:v>0.12608830305135008</c:v>
                </c:pt>
                <c:pt idx="80">
                  <c:v>0.12091347508385845</c:v>
                </c:pt>
                <c:pt idx="81">
                  <c:v>0.08354261301285043</c:v>
                </c:pt>
                <c:pt idx="82">
                  <c:v>0.06212733531633131</c:v>
                </c:pt>
                <c:pt idx="83">
                  <c:v>0.04917271441798633</c:v>
                </c:pt>
                <c:pt idx="84">
                  <c:v>0.04045700785658452</c:v>
                </c:pt>
                <c:pt idx="85">
                  <c:v>0.0341717172958103</c:v>
                </c:pt>
                <c:pt idx="86">
                  <c:v>0.029412970173201013</c:v>
                </c:pt>
                <c:pt idx="87">
                  <c:v>0.02567868060977278</c:v>
                </c:pt>
                <c:pt idx="88">
                  <c:v>0.02266745043668315</c:v>
                </c:pt>
                <c:pt idx="89">
                  <c:v>0.01351625039400038</c:v>
                </c:pt>
                <c:pt idx="90">
                  <c:v>0.008960091486467973</c:v>
                </c:pt>
                <c:pt idx="91">
                  <c:v>0.0046859155470533875</c:v>
                </c:pt>
                <c:pt idx="92">
                  <c:v>0.002833429316443991</c:v>
                </c:pt>
                <c:pt idx="93">
                  <c:v>0.0018824279460255867</c:v>
                </c:pt>
                <c:pt idx="94">
                  <c:v>0.0013356913544017252</c:v>
                </c:pt>
                <c:pt idx="95">
                  <c:v>0.0009946067075151967</c:v>
                </c:pt>
                <c:pt idx="96">
                  <c:v>0.0007683213715607217</c:v>
                </c:pt>
                <c:pt idx="97">
                  <c:v>0.0006108511328565062</c:v>
                </c:pt>
                <c:pt idx="98">
                  <c:v>0.0004970163612957553</c:v>
                </c:pt>
              </c:numCache>
            </c:numRef>
          </c:yVal>
          <c:smooth val="1"/>
        </c:ser>
        <c:ser>
          <c:idx val="4"/>
          <c:order val="4"/>
          <c:tx>
            <c:v>Inv. Filter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Control!$AX$41:$AX$119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</c:numCache>
            </c:numRef>
          </c:yVal>
          <c:smooth val="1"/>
        </c:ser>
        <c:axId val="58519837"/>
        <c:axId val="45693022"/>
      </c:scatterChart>
      <c:valAx>
        <c:axId val="58519837"/>
        <c:scaling>
          <c:logBase val="10"/>
          <c:orientation val="minMax"/>
          <c:max val="100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93022"/>
        <c:crossesAt val="1E-06"/>
        <c:crossBetween val="midCat"/>
        <c:dispUnits/>
        <c:majorUnit val="10"/>
        <c:minorUnit val="10"/>
      </c:valAx>
      <c:valAx>
        <c:axId val="45693022"/>
        <c:scaling>
          <c:logBase val="10"/>
          <c:orientation val="minMax"/>
          <c:min val="1E-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19837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Compliance - meters / g</a:t>
            </a:r>
          </a:p>
        </c:rich>
      </c:tx>
      <c:layout>
        <c:manualLayout>
          <c:xMode val="factor"/>
          <c:yMode val="factor"/>
          <c:x val="0.2765"/>
          <c:y val="0.06475"/>
        </c:manualLayout>
      </c:layout>
      <c:spPr>
        <a:ln w="12700">
          <a:solidFill/>
        </a:ln>
      </c:spPr>
    </c:title>
    <c:plotArea>
      <c:layout>
        <c:manualLayout>
          <c:xMode val="edge"/>
          <c:yMode val="edge"/>
          <c:x val="0.03375"/>
          <c:y val="0.038"/>
          <c:w val="0.91275"/>
          <c:h val="0.915"/>
        </c:manualLayout>
      </c:layout>
      <c:scatterChart>
        <c:scatterStyle val="smooth"/>
        <c:varyColors val="0"/>
        <c:ser>
          <c:idx val="2"/>
          <c:order val="0"/>
          <c:tx>
            <c:v>Compl - m/N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Control!$A$11:$A$119</c:f>
              <c:numCache>
                <c:ptCount val="109"/>
                <c:pt idx="0">
                  <c:v>0.00010000000000000002</c:v>
                </c:pt>
                <c:pt idx="1">
                  <c:v>0.00015000000000000001</c:v>
                </c:pt>
                <c:pt idx="2">
                  <c:v>0.00020000000000000004</c:v>
                </c:pt>
                <c:pt idx="3">
                  <c:v>0.00030000000000000003</c:v>
                </c:pt>
                <c:pt idx="4">
                  <c:v>0.0004000000000000001</c:v>
                </c:pt>
                <c:pt idx="5">
                  <c:v>0.0005000000000000001</c:v>
                </c:pt>
                <c:pt idx="6">
                  <c:v>0.0006000000000000001</c:v>
                </c:pt>
                <c:pt idx="7">
                  <c:v>0.0006999999999999998</c:v>
                </c:pt>
                <c:pt idx="8">
                  <c:v>0.0008000000000000001</c:v>
                </c:pt>
                <c:pt idx="9">
                  <c:v>0.0009</c:v>
                </c:pt>
                <c:pt idx="10">
                  <c:v>0.0010000000000000002</c:v>
                </c:pt>
                <c:pt idx="11">
                  <c:v>0.0015</c:v>
                </c:pt>
                <c:pt idx="12">
                  <c:v>0.0020000000000000005</c:v>
                </c:pt>
                <c:pt idx="13">
                  <c:v>0.003</c:v>
                </c:pt>
                <c:pt idx="14">
                  <c:v>0.004000000000000001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0.008000000000000002</c:v>
                </c:pt>
                <c:pt idx="19">
                  <c:v>0.009</c:v>
                </c:pt>
                <c:pt idx="20">
                  <c:v>0.01</c:v>
                </c:pt>
                <c:pt idx="21">
                  <c:v>0.015</c:v>
                </c:pt>
                <c:pt idx="22">
                  <c:v>0.02</c:v>
                </c:pt>
                <c:pt idx="23">
                  <c:v>0.03</c:v>
                </c:pt>
                <c:pt idx="24">
                  <c:v>0.04</c:v>
                </c:pt>
                <c:pt idx="25">
                  <c:v>0.05</c:v>
                </c:pt>
                <c:pt idx="26">
                  <c:v>0.06</c:v>
                </c:pt>
                <c:pt idx="27">
                  <c:v>0.07</c:v>
                </c:pt>
                <c:pt idx="28">
                  <c:v>0.08</c:v>
                </c:pt>
                <c:pt idx="29">
                  <c:v>0.09</c:v>
                </c:pt>
                <c:pt idx="30">
                  <c:v>0.1</c:v>
                </c:pt>
                <c:pt idx="31">
                  <c:v>0.15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1.5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166.66666666666663</c:v>
                </c:pt>
                <c:pt idx="67">
                  <c:v>200</c:v>
                </c:pt>
                <c:pt idx="68">
                  <c:v>250</c:v>
                </c:pt>
                <c:pt idx="69">
                  <c:v>300</c:v>
                </c:pt>
                <c:pt idx="70">
                  <c:v>333.333333</c:v>
                </c:pt>
                <c:pt idx="71">
                  <c:v>400</c:v>
                </c:pt>
                <c:pt idx="72">
                  <c:v>500</c:v>
                </c:pt>
                <c:pt idx="73">
                  <c:v>600</c:v>
                </c:pt>
                <c:pt idx="74">
                  <c:v>700</c:v>
                </c:pt>
                <c:pt idx="75">
                  <c:v>800</c:v>
                </c:pt>
                <c:pt idx="76">
                  <c:v>900</c:v>
                </c:pt>
                <c:pt idx="77">
                  <c:v>1000</c:v>
                </c:pt>
                <c:pt idx="78">
                  <c:v>1500</c:v>
                </c:pt>
                <c:pt idx="79">
                  <c:v>2000</c:v>
                </c:pt>
                <c:pt idx="80">
                  <c:v>3000</c:v>
                </c:pt>
                <c:pt idx="81">
                  <c:v>4000</c:v>
                </c:pt>
                <c:pt idx="82">
                  <c:v>5000</c:v>
                </c:pt>
                <c:pt idx="83">
                  <c:v>6000</c:v>
                </c:pt>
                <c:pt idx="84">
                  <c:v>7000</c:v>
                </c:pt>
                <c:pt idx="85">
                  <c:v>8000</c:v>
                </c:pt>
                <c:pt idx="86">
                  <c:v>9000</c:v>
                </c:pt>
                <c:pt idx="87">
                  <c:v>10000</c:v>
                </c:pt>
                <c:pt idx="88">
                  <c:v>15000</c:v>
                </c:pt>
                <c:pt idx="89">
                  <c:v>20000</c:v>
                </c:pt>
                <c:pt idx="90">
                  <c:v>20847</c:v>
                </c:pt>
                <c:pt idx="91">
                  <c:v>30000</c:v>
                </c:pt>
                <c:pt idx="92">
                  <c:v>40000</c:v>
                </c:pt>
                <c:pt idx="93">
                  <c:v>50000</c:v>
                </c:pt>
                <c:pt idx="94">
                  <c:v>60000</c:v>
                </c:pt>
                <c:pt idx="95">
                  <c:v>70000</c:v>
                </c:pt>
                <c:pt idx="96">
                  <c:v>80000</c:v>
                </c:pt>
                <c:pt idx="97">
                  <c:v>90000</c:v>
                </c:pt>
                <c:pt idx="98">
                  <c:v>100000</c:v>
                </c:pt>
                <c:pt idx="99">
                  <c:v>150000</c:v>
                </c:pt>
                <c:pt idx="100">
                  <c:v>200000</c:v>
                </c:pt>
                <c:pt idx="101">
                  <c:v>300000</c:v>
                </c:pt>
                <c:pt idx="102">
                  <c:v>400000</c:v>
                </c:pt>
                <c:pt idx="103">
                  <c:v>500000</c:v>
                </c:pt>
                <c:pt idx="104">
                  <c:v>600000</c:v>
                </c:pt>
                <c:pt idx="105">
                  <c:v>700000</c:v>
                </c:pt>
                <c:pt idx="106">
                  <c:v>800000</c:v>
                </c:pt>
                <c:pt idx="107">
                  <c:v>900000</c:v>
                </c:pt>
                <c:pt idx="108">
                  <c:v>1000000</c:v>
                </c:pt>
              </c:numCache>
            </c:numRef>
          </c:xVal>
          <c:yVal>
            <c:numRef>
              <c:f>Control!$AR$11:$AR$119</c:f>
              <c:numCache>
                <c:ptCount val="109"/>
                <c:pt idx="0">
                  <c:v>9.923683902388108E-10</c:v>
                </c:pt>
                <c:pt idx="1">
                  <c:v>1.4782941434713076E-09</c:v>
                </c:pt>
                <c:pt idx="2">
                  <c:v>1.9662415973251627E-09</c:v>
                </c:pt>
                <c:pt idx="3">
                  <c:v>2.944166123872942E-09</c:v>
                </c:pt>
                <c:pt idx="4">
                  <c:v>3.923091670833275E-09</c:v>
                </c:pt>
                <c:pt idx="5">
                  <c:v>4.902398812474463E-09</c:v>
                </c:pt>
                <c:pt idx="6">
                  <c:v>5.881878491434225E-09</c:v>
                </c:pt>
                <c:pt idx="7">
                  <c:v>6.861439320793968E-09</c:v>
                </c:pt>
                <c:pt idx="8">
                  <c:v>7.84103411123792E-09</c:v>
                </c:pt>
                <c:pt idx="9">
                  <c:v>8.820635334342916E-09</c:v>
                </c:pt>
                <c:pt idx="10">
                  <c:v>9.800225297707858E-09</c:v>
                </c:pt>
                <c:pt idx="11">
                  <c:v>1.4697662547175909E-08</c:v>
                </c:pt>
                <c:pt idx="12">
                  <c:v>1.9593724607237445E-08</c:v>
                </c:pt>
                <c:pt idx="13">
                  <c:v>2.9379849283759515E-08</c:v>
                </c:pt>
                <c:pt idx="14">
                  <c:v>3.9155376327183135E-08</c:v>
                </c:pt>
                <c:pt idx="15">
                  <c:v>4.891734630413574E-08</c:v>
                </c:pt>
                <c:pt idx="16">
                  <c:v>5.866286079147349E-08</c:v>
                </c:pt>
                <c:pt idx="17">
                  <c:v>6.838905702682046E-08</c:v>
                </c:pt>
                <c:pt idx="18">
                  <c:v>7.8093104640726E-08</c:v>
                </c:pt>
                <c:pt idx="19">
                  <c:v>8.777220721944036E-08</c:v>
                </c:pt>
                <c:pt idx="20">
                  <c:v>9.742360523756541E-08</c:v>
                </c:pt>
                <c:pt idx="21">
                  <c:v>1.4517145137081066E-07</c:v>
                </c:pt>
                <c:pt idx="22">
                  <c:v>1.9183979283612874E-07</c:v>
                </c:pt>
                <c:pt idx="23">
                  <c:v>2.8084413859847594E-07</c:v>
                </c:pt>
                <c:pt idx="24">
                  <c:v>3.6270792847483645E-07</c:v>
                </c:pt>
                <c:pt idx="25">
                  <c:v>4.364640224450135E-07</c:v>
                </c:pt>
                <c:pt idx="26">
                  <c:v>5.018345980445131E-07</c:v>
                </c:pt>
                <c:pt idx="27">
                  <c:v>5.590676747493981E-07</c:v>
                </c:pt>
                <c:pt idx="28">
                  <c:v>6.087512856152432E-07</c:v>
                </c:pt>
                <c:pt idx="29">
                  <c:v>6.516510239741282E-07</c:v>
                </c:pt>
                <c:pt idx="30">
                  <c:v>6.885899022725019E-07</c:v>
                </c:pt>
                <c:pt idx="31">
                  <c:v>8.094488444298802E-07</c:v>
                </c:pt>
                <c:pt idx="32">
                  <c:v>8.697071371340266E-07</c:v>
                </c:pt>
                <c:pt idx="33">
                  <c:v>9.220779589333217E-07</c:v>
                </c:pt>
                <c:pt idx="34">
                  <c:v>9.427790126206242E-07</c:v>
                </c:pt>
                <c:pt idx="35">
                  <c:v>9.528438552792192E-07</c:v>
                </c:pt>
                <c:pt idx="36">
                  <c:v>9.584459423236424E-07</c:v>
                </c:pt>
                <c:pt idx="37">
                  <c:v>9.618693670195563E-07</c:v>
                </c:pt>
                <c:pt idx="38">
                  <c:v>9.64108247232173E-07</c:v>
                </c:pt>
                <c:pt idx="39">
                  <c:v>9.656493800644303E-07</c:v>
                </c:pt>
                <c:pt idx="40">
                  <c:v>9.667533082745594E-07</c:v>
                </c:pt>
                <c:pt idx="41">
                  <c:v>9.69347788040853E-07</c:v>
                </c:pt>
                <c:pt idx="42">
                  <c:v>9.702027277963769E-07</c:v>
                </c:pt>
                <c:pt idx="43">
                  <c:v>9.706485625412602E-07</c:v>
                </c:pt>
                <c:pt idx="44">
                  <c:v>9.705720757477474E-07</c:v>
                </c:pt>
                <c:pt idx="45">
                  <c:v>9.702816450283939E-07</c:v>
                </c:pt>
                <c:pt idx="46">
                  <c:v>9.69853791817018E-07</c:v>
                </c:pt>
                <c:pt idx="47">
                  <c:v>9.693150605190787E-07</c:v>
                </c:pt>
                <c:pt idx="48">
                  <c:v>9.686768642323279E-07</c:v>
                </c:pt>
                <c:pt idx="49">
                  <c:v>9.679449894985893E-07</c:v>
                </c:pt>
                <c:pt idx="50">
                  <c:v>9.671228262944922E-07</c:v>
                </c:pt>
                <c:pt idx="51">
                  <c:v>9.662126462675854E-07</c:v>
                </c:pt>
                <c:pt idx="52">
                  <c:v>9.652161686709652E-07</c:v>
                </c:pt>
                <c:pt idx="53">
                  <c:v>9.641348333675996E-07</c:v>
                </c:pt>
                <c:pt idx="54">
                  <c:v>9.62969941600786E-07</c:v>
                </c:pt>
                <c:pt idx="55">
                  <c:v>9.617227324136004E-07</c:v>
                </c:pt>
                <c:pt idx="56">
                  <c:v>9.542950904302266E-07</c:v>
                </c:pt>
                <c:pt idx="57">
                  <c:v>9.340232812063606E-07</c:v>
                </c:pt>
                <c:pt idx="58">
                  <c:v>9.07812913164007E-07</c:v>
                </c:pt>
                <c:pt idx="59">
                  <c:v>8.771755032306996E-07</c:v>
                </c:pt>
                <c:pt idx="60">
                  <c:v>8.378943080135065E-07</c:v>
                </c:pt>
                <c:pt idx="61">
                  <c:v>7.972239194176994E-07</c:v>
                </c:pt>
                <c:pt idx="62">
                  <c:v>7.56622489087588E-07</c:v>
                </c:pt>
                <c:pt idx="63">
                  <c:v>7.170282375597752E-07</c:v>
                </c:pt>
                <c:pt idx="64">
                  <c:v>6.790573149768604E-07</c:v>
                </c:pt>
                <c:pt idx="65">
                  <c:v>5.208832073512229E-07</c:v>
                </c:pt>
                <c:pt idx="66">
                  <c:v>4.796331726779699E-07</c:v>
                </c:pt>
                <c:pt idx="67">
                  <c:v>4.110610775384601E-07</c:v>
                </c:pt>
                <c:pt idx="68">
                  <c:v>3.345115896625911E-07</c:v>
                </c:pt>
                <c:pt idx="69">
                  <c:v>2.7935323157917613E-07</c:v>
                </c:pt>
                <c:pt idx="70">
                  <c:v>2.5067848241429897E-07</c:v>
                </c:pt>
                <c:pt idx="71">
                  <c:v>2.0650647719117435E-07</c:v>
                </c:pt>
                <c:pt idx="72">
                  <c:v>1.6126081927153225E-07</c:v>
                </c:pt>
                <c:pt idx="73">
                  <c:v>1.3074762941869705E-07</c:v>
                </c:pt>
                <c:pt idx="74">
                  <c:v>1.089241479718555E-07</c:v>
                </c:pt>
                <c:pt idx="75">
                  <c:v>9.262208249587004E-08</c:v>
                </c:pt>
                <c:pt idx="76">
                  <c:v>8.003240014242795E-08</c:v>
                </c:pt>
                <c:pt idx="77">
                  <c:v>7.005131374909063E-08</c:v>
                </c:pt>
                <c:pt idx="78">
                  <c:v>4.0990142150334925E-08</c:v>
                </c:pt>
                <c:pt idx="79">
                  <c:v>2.7368100297646494E-08</c:v>
                </c:pt>
                <c:pt idx="80">
                  <c:v>1.4953710018872714E-08</c:v>
                </c:pt>
                <c:pt idx="81">
                  <c:v>9.499897256800032E-09</c:v>
                </c:pt>
                <c:pt idx="82">
                  <c:v>6.591550792254078E-09</c:v>
                </c:pt>
                <c:pt idx="83">
                  <c:v>4.849504358019424E-09</c:v>
                </c:pt>
                <c:pt idx="84">
                  <c:v>3.720861136460798E-09</c:v>
                </c:pt>
                <c:pt idx="85">
                  <c:v>2.946779878328741E-09</c:v>
                </c:pt>
                <c:pt idx="86">
                  <c:v>2.3923373826954912E-09</c:v>
                </c:pt>
                <c:pt idx="87">
                  <c:v>1.9813850028066296E-09</c:v>
                </c:pt>
                <c:pt idx="88">
                  <c:v>9.443955739474451E-10</c:v>
                </c:pt>
                <c:pt idx="89">
                  <c:v>5.512203424441686E-10</c:v>
                </c:pt>
                <c:pt idx="90">
                  <c:v>5.096807561124711E-10</c:v>
                </c:pt>
                <c:pt idx="91">
                  <c:v>2.5460543046009613E-10</c:v>
                </c:pt>
                <c:pt idx="92">
                  <c:v>1.4610297897681618E-10</c:v>
                </c:pt>
                <c:pt idx="93">
                  <c:v>9.46604139973023E-11</c:v>
                </c:pt>
                <c:pt idx="94">
                  <c:v>6.628703942067388E-11</c:v>
                </c:pt>
                <c:pt idx="95">
                  <c:v>4.8996656664827005E-11</c:v>
                </c:pt>
                <c:pt idx="96">
                  <c:v>3.768647530764286E-11</c:v>
                </c:pt>
                <c:pt idx="97">
                  <c:v>2.98853776403512E-11</c:v>
                </c:pt>
                <c:pt idx="98">
                  <c:v>2.4278432101170375E-11</c:v>
                </c:pt>
                <c:pt idx="99">
                  <c:v>1.0887841128503318E-11</c:v>
                </c:pt>
                <c:pt idx="100">
                  <c:v>6.152066323669572E-12</c:v>
                </c:pt>
                <c:pt idx="101">
                  <c:v>2.745883769565409E-12</c:v>
                </c:pt>
                <c:pt idx="102">
                  <c:v>1.5474127926927054E-12</c:v>
                </c:pt>
                <c:pt idx="103">
                  <c:v>9.912842308530991E-13</c:v>
                </c:pt>
                <c:pt idx="104">
                  <c:v>6.887676918361086E-13</c:v>
                </c:pt>
                <c:pt idx="105">
                  <c:v>5.062058340414029E-13</c:v>
                </c:pt>
                <c:pt idx="106">
                  <c:v>3.8765147390854766E-13</c:v>
                </c:pt>
                <c:pt idx="107">
                  <c:v>3.06340724855398E-13</c:v>
                </c:pt>
                <c:pt idx="108">
                  <c:v>2.481642194587837E-13</c:v>
                </c:pt>
              </c:numCache>
            </c:numRef>
          </c:yVal>
          <c:smooth val="1"/>
        </c:ser>
        <c:axId val="17256415"/>
        <c:axId val="47925152"/>
      </c:scatterChart>
      <c:valAx>
        <c:axId val="17256415"/>
        <c:scaling>
          <c:logBase val="10"/>
          <c:orientation val="minMax"/>
          <c:max val="1000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925152"/>
        <c:crossesAt val="1E-14"/>
        <c:crossBetween val="midCat"/>
        <c:dispUnits/>
        <c:majorUnit val="10"/>
        <c:minorUnit val="10"/>
      </c:valAx>
      <c:valAx>
        <c:axId val="47925152"/>
        <c:scaling>
          <c:logBase val="10"/>
          <c:orientation val="minMax"/>
          <c:max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Compliance - m/N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256415"/>
        <c:crossesAt val="1E-07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g's / 300nm</a:t>
            </a:r>
          </a:p>
        </c:rich>
      </c:tx>
      <c:layout>
        <c:manualLayout>
          <c:xMode val="factor"/>
          <c:yMode val="factor"/>
          <c:x val="-0.042"/>
          <c:y val="0.029"/>
        </c:manualLayout>
      </c:layout>
      <c:spPr>
        <a:ln w="12700">
          <a:solidFill/>
        </a:ln>
      </c:spPr>
    </c:title>
    <c:plotArea>
      <c:layout>
        <c:manualLayout>
          <c:xMode val="edge"/>
          <c:yMode val="edge"/>
          <c:x val="0.0025"/>
          <c:y val="0.00475"/>
          <c:w val="0.95125"/>
          <c:h val="0.96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Control!$AS$21:$AS$119</c:f>
              <c:numCache>
                <c:ptCount val="99"/>
                <c:pt idx="0">
                  <c:v>30.611541152035144</c:v>
                </c:pt>
                <c:pt idx="1">
                  <c:v>20.411408891520896</c:v>
                </c:pt>
                <c:pt idx="2">
                  <c:v>15.311024627200654</c:v>
                </c:pt>
                <c:pt idx="3">
                  <c:v>10.211080291886756</c:v>
                </c:pt>
                <c:pt idx="4">
                  <c:v>7.661783084223065</c:v>
                </c:pt>
                <c:pt idx="5">
                  <c:v>6.132793838300184</c:v>
                </c:pt>
                <c:pt idx="6">
                  <c:v>5.113968121438842</c:v>
                </c:pt>
                <c:pt idx="7">
                  <c:v>4.386666713102179</c:v>
                </c:pt>
                <c:pt idx="8">
                  <c:v>3.8415683609990356</c:v>
                </c:pt>
                <c:pt idx="9">
                  <c:v>3.417938428390736</c:v>
                </c:pt>
                <c:pt idx="10">
                  <c:v>3.0793358474925694</c:v>
                </c:pt>
                <c:pt idx="11">
                  <c:v>2.0665220135721563</c:v>
                </c:pt>
                <c:pt idx="12">
                  <c:v>1.5638048580268362</c:v>
                </c:pt>
                <c:pt idx="13">
                  <c:v>1.0682081580805618</c:v>
                </c:pt>
                <c:pt idx="14">
                  <c:v>0.8271117790600298</c:v>
                </c:pt>
                <c:pt idx="15">
                  <c:v>0.6873418760140637</c:v>
                </c:pt>
                <c:pt idx="16">
                  <c:v>0.5978065306158699</c:v>
                </c:pt>
                <c:pt idx="17">
                  <c:v>0.5366076658509632</c:v>
                </c:pt>
                <c:pt idx="18">
                  <c:v>0.49281210091704475</c:v>
                </c:pt>
                <c:pt idx="19">
                  <c:v>0.46036910702669376</c:v>
                </c:pt>
                <c:pt idx="20">
                  <c:v>0.43567295862157196</c:v>
                </c:pt>
                <c:pt idx="21">
                  <c:v>0.37062255640293024</c:v>
                </c:pt>
                <c:pt idx="22">
                  <c:v>0.3449437025302557</c:v>
                </c:pt>
                <c:pt idx="23">
                  <c:v>0.32535209967175227</c:v>
                </c:pt>
                <c:pt idx="24">
                  <c:v>0.31820818663124023</c:v>
                </c:pt>
                <c:pt idx="25">
                  <c:v>0.3148469692466964</c:v>
                </c:pt>
                <c:pt idx="26">
                  <c:v>0.31300669839833045</c:v>
                </c:pt>
                <c:pt idx="27">
                  <c:v>0.31189266472803734</c:v>
                </c:pt>
                <c:pt idx="28">
                  <c:v>0.3111683785106706</c:v>
                </c:pt>
                <c:pt idx="29">
                  <c:v>0.31067176782113537</c:v>
                </c:pt>
                <c:pt idx="30">
                  <c:v>0.31031701410511187</c:v>
                </c:pt>
                <c:pt idx="31">
                  <c:v>0.3094864440824995</c:v>
                </c:pt>
                <c:pt idx="32">
                  <c:v>0.30921372554928855</c:v>
                </c:pt>
                <c:pt idx="33">
                  <c:v>0.3090716986326837</c:v>
                </c:pt>
                <c:pt idx="34">
                  <c:v>0.30909605530210027</c:v>
                </c:pt>
                <c:pt idx="35">
                  <c:v>0.3091885758502841</c:v>
                </c:pt>
                <c:pt idx="36">
                  <c:v>0.30932497509542234</c:v>
                </c:pt>
                <c:pt idx="37">
                  <c:v>0.30949689344488956</c:v>
                </c:pt>
                <c:pt idx="38">
                  <c:v>0.30970080021241003</c:v>
                </c:pt>
                <c:pt idx="39">
                  <c:v>0.3099349686756524</c:v>
                </c:pt>
                <c:pt idx="40">
                  <c:v>0.3101984482668481</c:v>
                </c:pt>
                <c:pt idx="41">
                  <c:v>0.3104906576817017</c:v>
                </c:pt>
                <c:pt idx="42">
                  <c:v>0.3108112045129527</c:v>
                </c:pt>
                <c:pt idx="43">
                  <c:v>0.3111597980047442</c:v>
                </c:pt>
                <c:pt idx="44">
                  <c:v>0.3115362038209596</c:v>
                </c:pt>
                <c:pt idx="45">
                  <c:v>0.3119402192429215</c:v>
                </c:pt>
                <c:pt idx="46">
                  <c:v>0.31436816872310475</c:v>
                </c:pt>
                <c:pt idx="47">
                  <c:v>0.32119113734780536</c:v>
                </c:pt>
                <c:pt idx="48">
                  <c:v>0.3304645656057125</c:v>
                </c:pt>
                <c:pt idx="49">
                  <c:v>0.3420068149362114</c:v>
                </c:pt>
                <c:pt idx="50">
                  <c:v>0.35804038424756085</c:v>
                </c:pt>
                <c:pt idx="51">
                  <c:v>0.3763058190967515</c:v>
                </c:pt>
                <c:pt idx="52">
                  <c:v>0.39649892030273953</c:v>
                </c:pt>
                <c:pt idx="53">
                  <c:v>0.41839356427715363</c:v>
                </c:pt>
                <c:pt idx="54">
                  <c:v>0.4417889232372422</c:v>
                </c:pt>
                <c:pt idx="55">
                  <c:v>0.575944848607329</c:v>
                </c:pt>
                <c:pt idx="56">
                  <c:v>0.625478005044957</c:v>
                </c:pt>
                <c:pt idx="57">
                  <c:v>0.7298185510447194</c:v>
                </c:pt>
                <c:pt idx="58">
                  <c:v>0.8968299134346837</c:v>
                </c:pt>
                <c:pt idx="59">
                  <c:v>1.0739091805171117</c:v>
                </c:pt>
                <c:pt idx="60">
                  <c:v>1.1967520989862497</c:v>
                </c:pt>
                <c:pt idx="61">
                  <c:v>1.4527389362333345</c:v>
                </c:pt>
                <c:pt idx="62">
                  <c:v>1.860340294407519</c:v>
                </c:pt>
                <c:pt idx="63">
                  <c:v>2.2944966676168255</c:v>
                </c:pt>
                <c:pt idx="64">
                  <c:v>2.7542102057802267</c:v>
                </c:pt>
                <c:pt idx="65">
                  <c:v>3.2389684178540987</c:v>
                </c:pt>
                <c:pt idx="66">
                  <c:v>3.7484818581738324</c:v>
                </c:pt>
                <c:pt idx="67">
                  <c:v>4.282574928923363</c:v>
                </c:pt>
                <c:pt idx="68">
                  <c:v>7.318832876932307</c:v>
                </c:pt>
                <c:pt idx="69">
                  <c:v>10.961666931109512</c:v>
                </c:pt>
                <c:pt idx="70">
                  <c:v>20.061911032203867</c:v>
                </c:pt>
                <c:pt idx="71">
                  <c:v>31.5792889007573</c:v>
                </c:pt>
                <c:pt idx="72">
                  <c:v>45.51281018004726</c:v>
                </c:pt>
                <c:pt idx="73">
                  <c:v>61.86199204129025</c:v>
                </c:pt>
                <c:pt idx="74">
                  <c:v>80.6264971998803</c:v>
                </c:pt>
                <c:pt idx="75">
                  <c:v>101.8060433377685</c:v>
                </c:pt>
                <c:pt idx="76">
                  <c:v>125.40037294488305</c:v>
                </c:pt>
                <c:pt idx="77">
                  <c:v>151.40924130093362</c:v>
                </c:pt>
                <c:pt idx="78">
                  <c:v>317.66349639488544</c:v>
                </c:pt>
                <c:pt idx="79">
                  <c:v>544.2469678636471</c:v>
                </c:pt>
                <c:pt idx="80">
                  <c:v>588.6037414639981</c:v>
                </c:pt>
                <c:pt idx="81">
                  <c:v>1178.2937993815433</c:v>
                </c:pt>
                <c:pt idx="82">
                  <c:v>2053.3462226502884</c:v>
                </c:pt>
                <c:pt idx="83">
                  <c:v>3169.22340957171</c:v>
                </c:pt>
                <c:pt idx="84">
                  <c:v>4525.771593088146</c:v>
                </c:pt>
                <c:pt idx="85">
                  <c:v>6122.866750934039</c:v>
                </c:pt>
                <c:pt idx="86">
                  <c:v>7960.41544217216</c:v>
                </c:pt>
                <c:pt idx="87">
                  <c:v>10038.353994059635</c:v>
                </c:pt>
                <c:pt idx="88">
                  <c:v>12356.646374439397</c:v>
                </c:pt>
                <c:pt idx="89">
                  <c:v>27553.671702154887</c:v>
                </c:pt>
                <c:pt idx="90">
                  <c:v>48764.103671277815</c:v>
                </c:pt>
                <c:pt idx="91">
                  <c:v>109254.44234935005</c:v>
                </c:pt>
                <c:pt idx="92">
                  <c:v>193871.99163447513</c:v>
                </c:pt>
                <c:pt idx="93">
                  <c:v>302637.72050708404</c:v>
                </c:pt>
                <c:pt idx="94">
                  <c:v>435560.4996515786</c:v>
                </c:pt>
                <c:pt idx="95">
                  <c:v>592644.2957104733</c:v>
                </c:pt>
                <c:pt idx="96">
                  <c:v>773891.034065239</c:v>
                </c:pt>
                <c:pt idx="97">
                  <c:v>979301.7240577758</c:v>
                </c:pt>
                <c:pt idx="98">
                  <c:v>1208876.9309865213</c:v>
                </c:pt>
              </c:numCache>
            </c:numRef>
          </c:yVal>
          <c:smooth val="1"/>
        </c:ser>
        <c:axId val="28127137"/>
        <c:axId val="16324578"/>
      </c:scatterChart>
      <c:valAx>
        <c:axId val="281271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16324578"/>
        <c:crossesAt val="0.1"/>
        <c:crossBetween val="midCat"/>
        <c:dispUnits/>
      </c:valAx>
      <c:valAx>
        <c:axId val="1632457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g's / 300nm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28127137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Force Response - V/N</a:t>
            </a:r>
          </a:p>
        </c:rich>
      </c:tx>
      <c:layout>
        <c:manualLayout>
          <c:xMode val="factor"/>
          <c:yMode val="factor"/>
          <c:x val="0.025"/>
          <c:y val="0.0142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065"/>
          <c:y val="0.133"/>
          <c:w val="0.98425"/>
          <c:h val="0.75775"/>
        </c:manualLayout>
      </c:layout>
      <c:scatterChart>
        <c:scatterStyle val="line"/>
        <c:varyColors val="0"/>
        <c:ser>
          <c:idx val="1"/>
          <c:order val="0"/>
          <c:tx>
            <c:v>1/B - V/N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Control!$N$21:$N$119</c:f>
              <c:numCache>
                <c:ptCount val="99"/>
                <c:pt idx="0">
                  <c:v>2499.7940373108495</c:v>
                </c:pt>
                <c:pt idx="1">
                  <c:v>3749.193527073598</c:v>
                </c:pt>
                <c:pt idx="2">
                  <c:v>4998.36538181459</c:v>
                </c:pt>
                <c:pt idx="3">
                  <c:v>7495.5476291192745</c:v>
                </c:pt>
                <c:pt idx="4">
                  <c:v>9990.517137198816</c:v>
                </c:pt>
                <c:pt idx="5">
                  <c:v>12482.516905662464</c:v>
                </c:pt>
                <c:pt idx="6">
                  <c:v>14970.804920255585</c:v>
                </c:pt>
                <c:pt idx="7">
                  <c:v>17454.64769568959</c:v>
                </c:pt>
                <c:pt idx="8">
                  <c:v>19933.319452021264</c:v>
                </c:pt>
                <c:pt idx="9">
                  <c:v>22406.102524659884</c:v>
                </c:pt>
                <c:pt idx="10">
                  <c:v>24872.28812528001</c:v>
                </c:pt>
                <c:pt idx="11">
                  <c:v>37080.17828359129</c:v>
                </c:pt>
                <c:pt idx="12">
                  <c:v>49023.432279923996</c:v>
                </c:pt>
                <c:pt idx="13">
                  <c:v>71832.42314253653</c:v>
                </c:pt>
                <c:pt idx="14">
                  <c:v>92847.74203815489</c:v>
                </c:pt>
                <c:pt idx="15">
                  <c:v>111811.52692268312</c:v>
                </c:pt>
                <c:pt idx="16">
                  <c:v>128642.9354633538</c:v>
                </c:pt>
                <c:pt idx="17">
                  <c:v>143397.4210338632</c:v>
                </c:pt>
                <c:pt idx="18">
                  <c:v>156219.55424840748</c:v>
                </c:pt>
                <c:pt idx="19">
                  <c:v>167301.323501775</c:v>
                </c:pt>
                <c:pt idx="20">
                  <c:v>176851.01992875087</c:v>
                </c:pt>
                <c:pt idx="21">
                  <c:v>208146.36290923684</c:v>
                </c:pt>
                <c:pt idx="22">
                  <c:v>223778.40492268672</c:v>
                </c:pt>
                <c:pt idx="23">
                  <c:v>237379.8180156826</c:v>
                </c:pt>
                <c:pt idx="24">
                  <c:v>242760.10653488792</c:v>
                </c:pt>
                <c:pt idx="25">
                  <c:v>245376.7631908369</c:v>
                </c:pt>
                <c:pt idx="26">
                  <c:v>246833.36591911284</c:v>
                </c:pt>
                <c:pt idx="27">
                  <c:v>247723.51268942165</c:v>
                </c:pt>
                <c:pt idx="28">
                  <c:v>248305.62767643994</c:v>
                </c:pt>
                <c:pt idx="29">
                  <c:v>248706.2758545914</c:v>
                </c:pt>
                <c:pt idx="30">
                  <c:v>248993.2042608586</c:v>
                </c:pt>
                <c:pt idx="31">
                  <c:v>249666.78187247703</c:v>
                </c:pt>
                <c:pt idx="32">
                  <c:v>249887.42661040975</c:v>
                </c:pt>
                <c:pt idx="33">
                  <c:v>249998.45441568276</c:v>
                </c:pt>
                <c:pt idx="34">
                  <c:v>249971.65495337627</c:v>
                </c:pt>
                <c:pt idx="35">
                  <c:v>249887.24790862223</c:v>
                </c:pt>
                <c:pt idx="36">
                  <c:v>249765.14807307158</c:v>
                </c:pt>
                <c:pt idx="37">
                  <c:v>249612.27303820653</c:v>
                </c:pt>
                <c:pt idx="38">
                  <c:v>249431.60685144408</c:v>
                </c:pt>
                <c:pt idx="39">
                  <c:v>249224.67226162102</c:v>
                </c:pt>
                <c:pt idx="40">
                  <c:v>248992.37082665815</c:v>
                </c:pt>
                <c:pt idx="41">
                  <c:v>248735.31534116712</c:v>
                </c:pt>
                <c:pt idx="42">
                  <c:v>248453.9769799871</c:v>
                </c:pt>
                <c:pt idx="43">
                  <c:v>248148.75624148455</c:v>
                </c:pt>
                <c:pt idx="44">
                  <c:v>247820.0194901074</c:v>
                </c:pt>
                <c:pt idx="45">
                  <c:v>247468.11875582015</c:v>
                </c:pt>
                <c:pt idx="46">
                  <c:v>245373.54247984584</c:v>
                </c:pt>
                <c:pt idx="47">
                  <c:v>239665.42268812834</c:v>
                </c:pt>
                <c:pt idx="48">
                  <c:v>232302.86016213676</c:v>
                </c:pt>
                <c:pt idx="49">
                  <c:v>223763.12980526427</c:v>
                </c:pt>
                <c:pt idx="50">
                  <c:v>214502.38604686613</c:v>
                </c:pt>
                <c:pt idx="51">
                  <c:v>204911.70121597353</c:v>
                </c:pt>
                <c:pt idx="52">
                  <c:v>195298.10940448832</c:v>
                </c:pt>
                <c:pt idx="53">
                  <c:v>185884.59729656077</c:v>
                </c:pt>
                <c:pt idx="54">
                  <c:v>176820.8728545437</c:v>
                </c:pt>
                <c:pt idx="55">
                  <c:v>138669.73322578907</c:v>
                </c:pt>
                <c:pt idx="56">
                  <c:v>128610.72691092441</c:v>
                </c:pt>
                <c:pt idx="57">
                  <c:v>111781.08682374973</c:v>
                </c:pt>
                <c:pt idx="58">
                  <c:v>92820.52857112861</c:v>
                </c:pt>
                <c:pt idx="59">
                  <c:v>79029.36567735414</c:v>
                </c:pt>
                <c:pt idx="60">
                  <c:v>71810.05668812805</c:v>
                </c:pt>
                <c:pt idx="61">
                  <c:v>60609.06874848384</c:v>
                </c:pt>
                <c:pt idx="62">
                  <c:v>49007.50946790303</c:v>
                </c:pt>
                <c:pt idx="63">
                  <c:v>41081.056019697746</c:v>
                </c:pt>
                <c:pt idx="64">
                  <c:v>35338.945872710516</c:v>
                </c:pt>
                <c:pt idx="65">
                  <c:v>30994.149597232037</c:v>
                </c:pt>
                <c:pt idx="66">
                  <c:v>27594.86818948857</c:v>
                </c:pt>
                <c:pt idx="67">
                  <c:v>24864.177731251082</c:v>
                </c:pt>
                <c:pt idx="68">
                  <c:v>16622.019603753506</c:v>
                </c:pt>
                <c:pt idx="69">
                  <c:v>12478.83568228391</c:v>
                </c:pt>
                <c:pt idx="70">
                  <c:v>8325.495591924393</c:v>
                </c:pt>
                <c:pt idx="71">
                  <c:v>6246.180034356176</c:v>
                </c:pt>
                <c:pt idx="72">
                  <c:v>4998.066206767589</c:v>
                </c:pt>
                <c:pt idx="73">
                  <c:v>4165.881195490788</c:v>
                </c:pt>
                <c:pt idx="74">
                  <c:v>3571.4661626352995</c:v>
                </c:pt>
                <c:pt idx="75">
                  <c:v>3125.692579444174</c:v>
                </c:pt>
                <c:pt idx="76">
                  <c:v>2779.028230235106</c:v>
                </c:pt>
                <c:pt idx="77">
                  <c:v>2501.747403912444</c:v>
                </c:pt>
                <c:pt idx="78">
                  <c:v>1670.4753271747725</c:v>
                </c:pt>
                <c:pt idx="79">
                  <c:v>1255.5910015669715</c:v>
                </c:pt>
                <c:pt idx="80">
                  <c:v>1205.0940268549184</c:v>
                </c:pt>
                <c:pt idx="81">
                  <c:v>842.2304014527382</c:v>
                </c:pt>
                <c:pt idx="82">
                  <c:v>637.056924911365</c:v>
                </c:pt>
                <c:pt idx="83">
                  <c:v>515.1296107130153</c:v>
                </c:pt>
                <c:pt idx="84">
                  <c:v>434.7947714466233</c:v>
                </c:pt>
                <c:pt idx="85">
                  <c:v>378.196589976359</c:v>
                </c:pt>
                <c:pt idx="86">
                  <c:v>336.4043361187732</c:v>
                </c:pt>
                <c:pt idx="87">
                  <c:v>304.4546990665346</c:v>
                </c:pt>
                <c:pt idx="88">
                  <c:v>279.36867351545027</c:v>
                </c:pt>
                <c:pt idx="89">
                  <c:v>208.2291725895194</c:v>
                </c:pt>
                <c:pt idx="90">
                  <c:v>176.68832910123402</c:v>
                </c:pt>
                <c:pt idx="91">
                  <c:v>150.1562167148086</c:v>
                </c:pt>
                <c:pt idx="92">
                  <c:v>139.6844020384875</c:v>
                </c:pt>
                <c:pt idx="93">
                  <c:v>134.56183657556306</c:v>
                </c:pt>
                <c:pt idx="94">
                  <c:v>131.69571948940106</c:v>
                </c:pt>
                <c:pt idx="95">
                  <c:v>129.93699248976088</c:v>
                </c:pt>
                <c:pt idx="96">
                  <c:v>128.7826584677176</c:v>
                </c:pt>
                <c:pt idx="97">
                  <c:v>127.98523516786993</c:v>
                </c:pt>
                <c:pt idx="98">
                  <c:v>127.41178131369591</c:v>
                </c:pt>
              </c:numCache>
            </c:numRef>
          </c:yVal>
          <c:smooth val="0"/>
        </c:ser>
        <c:ser>
          <c:idx val="5"/>
          <c:order val="1"/>
          <c:tx>
            <c:v>F Resp - V/N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Control!$AJ$21:$AJ$119</c:f>
              <c:numCache>
                <c:ptCount val="99"/>
                <c:pt idx="0">
                  <c:v>2499.7876334435573</c:v>
                </c:pt>
                <c:pt idx="1">
                  <c:v>3749.1792782885873</c:v>
                </c:pt>
                <c:pt idx="2">
                  <c:v>4998.337719879574</c:v>
                </c:pt>
                <c:pt idx="3">
                  <c:v>7495.46904391861</c:v>
                </c:pt>
                <c:pt idx="4">
                  <c:v>9990.343243055866</c:v>
                </c:pt>
                <c:pt idx="5">
                  <c:v>12482.188729957095</c:v>
                </c:pt>
                <c:pt idx="6">
                  <c:v>14970.249080490828</c:v>
                </c:pt>
                <c:pt idx="7">
                  <c:v>17453.77661909082</c:v>
                </c:pt>
                <c:pt idx="8">
                  <c:v>19932.031636514203</c:v>
                </c:pt>
                <c:pt idx="9">
                  <c:v>22404.282839873456</c:v>
                </c:pt>
                <c:pt idx="10">
                  <c:v>24869.80815202234</c:v>
                </c:pt>
                <c:pt idx="11">
                  <c:v>37072.03369873496</c:v>
                </c:pt>
                <c:pt idx="12">
                  <c:v>49004.672909733206</c:v>
                </c:pt>
                <c:pt idx="13">
                  <c:v>71773.57518835264</c:v>
                </c:pt>
                <c:pt idx="14">
                  <c:v>92720.86213304108</c:v>
                </c:pt>
                <c:pt idx="15">
                  <c:v>111590.22569115984</c:v>
                </c:pt>
                <c:pt idx="16">
                  <c:v>128306.2834962111</c:v>
                </c:pt>
                <c:pt idx="17">
                  <c:v>142931.63782924853</c:v>
                </c:pt>
                <c:pt idx="18">
                  <c:v>155617.91197805086</c:v>
                </c:pt>
                <c:pt idx="19">
                  <c:v>166563.0119072225</c:v>
                </c:pt>
                <c:pt idx="20">
                  <c:v>175979.6330461873</c:v>
                </c:pt>
                <c:pt idx="21">
                  <c:v>206729.84365764057</c:v>
                </c:pt>
                <c:pt idx="22">
                  <c:v>222021.02503544788</c:v>
                </c:pt>
                <c:pt idx="23">
                  <c:v>235285.29080535957</c:v>
                </c:pt>
                <c:pt idx="24">
                  <c:v>240521.3404651817</c:v>
                </c:pt>
                <c:pt idx="25">
                  <c:v>243065.601072383</c:v>
                </c:pt>
                <c:pt idx="26">
                  <c:v>244481.30097120928</c:v>
                </c:pt>
                <c:pt idx="27">
                  <c:v>245346.27807069814</c:v>
                </c:pt>
                <c:pt idx="28">
                  <c:v>245911.89942435845</c:v>
                </c:pt>
                <c:pt idx="29">
                  <c:v>246301.21545372225</c:v>
                </c:pt>
                <c:pt idx="30">
                  <c:v>246580.07154124512</c:v>
                </c:pt>
                <c:pt idx="31">
                  <c:v>247235.39804935965</c:v>
                </c:pt>
                <c:pt idx="32">
                  <c:v>247451.32876277814</c:v>
                </c:pt>
                <c:pt idx="33">
                  <c:v>247563.9305518157</c:v>
                </c:pt>
                <c:pt idx="34">
                  <c:v>247544.6113575703</c:v>
                </c:pt>
                <c:pt idx="35">
                  <c:v>247471.25086682185</c:v>
                </c:pt>
                <c:pt idx="36">
                  <c:v>247363.16882771376</c:v>
                </c:pt>
                <c:pt idx="37">
                  <c:v>247227.06161638853</c:v>
                </c:pt>
                <c:pt idx="38">
                  <c:v>247065.80285777574</c:v>
                </c:pt>
                <c:pt idx="39">
                  <c:v>246880.84394157122</c:v>
                </c:pt>
                <c:pt idx="40">
                  <c:v>246673.0298147496</c:v>
                </c:pt>
                <c:pt idx="41">
                  <c:v>246442.92185599514</c:v>
                </c:pt>
                <c:pt idx="42">
                  <c:v>246190.94086144964</c:v>
                </c:pt>
                <c:pt idx="43">
                  <c:v>245917.43605499633</c:v>
                </c:pt>
                <c:pt idx="44">
                  <c:v>245622.72070693382</c:v>
                </c:pt>
                <c:pt idx="45">
                  <c:v>245307.0915045373</c:v>
                </c:pt>
                <c:pt idx="46">
                  <c:v>243425.51927029013</c:v>
                </c:pt>
                <c:pt idx="47">
                  <c:v>238274.1503644342</c:v>
                </c:pt>
                <c:pt idx="48">
                  <c:v>231579.66953774745</c:v>
                </c:pt>
                <c:pt idx="49">
                  <c:v>223745.5068241042</c:v>
                </c:pt>
                <c:pt idx="50">
                  <c:v>215167.4707154087</c:v>
                </c:pt>
                <c:pt idx="51">
                  <c:v>206195.5676587191</c:v>
                </c:pt>
                <c:pt idx="52">
                  <c:v>197114.53906893608</c:v>
                </c:pt>
                <c:pt idx="53">
                  <c:v>188139.91235612007</c:v>
                </c:pt>
                <c:pt idx="54">
                  <c:v>179423.92635121604</c:v>
                </c:pt>
                <c:pt idx="55">
                  <c:v>141986.60834165875</c:v>
                </c:pt>
                <c:pt idx="56">
                  <c:v>131929.4662018085</c:v>
                </c:pt>
                <c:pt idx="57">
                  <c:v>114945.37055988958</c:v>
                </c:pt>
                <c:pt idx="58">
                  <c:v>95589.45900559441</c:v>
                </c:pt>
                <c:pt idx="59">
                  <c:v>81370.51970510333</c:v>
                </c:pt>
                <c:pt idx="60">
                  <c:v>73880.17190481989</c:v>
                </c:pt>
                <c:pt idx="61">
                  <c:v>62190.461766070344</c:v>
                </c:pt>
                <c:pt idx="62">
                  <c:v>49981.32691469337</c:v>
                </c:pt>
                <c:pt idx="63">
                  <c:v>41562.59714348302</c:v>
                </c:pt>
                <c:pt idx="64">
                  <c:v>35410.045050753324</c:v>
                </c:pt>
                <c:pt idx="65">
                  <c:v>30714.52998656208</c:v>
                </c:pt>
                <c:pt idx="66">
                  <c:v>27010.07433636366</c:v>
                </c:pt>
                <c:pt idx="67">
                  <c:v>24010.46709339249</c:v>
                </c:pt>
                <c:pt idx="68">
                  <c:v>14799.058374464215</c:v>
                </c:pt>
                <c:pt idx="69">
                  <c:v>10098.603289383482</c:v>
                </c:pt>
                <c:pt idx="70">
                  <c:v>5506.656487031003</c:v>
                </c:pt>
                <c:pt idx="71">
                  <c:v>3413.2975366544606</c:v>
                </c:pt>
                <c:pt idx="72">
                  <c:v>2301.5403770378985</c:v>
                </c:pt>
                <c:pt idx="73">
                  <c:v>1648.2801882315707</c:v>
                </c:pt>
                <c:pt idx="74">
                  <c:v>1234.8565415729354</c:v>
                </c:pt>
                <c:pt idx="75">
                  <c:v>957.8927167752304</c:v>
                </c:pt>
                <c:pt idx="76">
                  <c:v>763.8278528530409</c:v>
                </c:pt>
                <c:pt idx="77">
                  <c:v>622.8370243804802</c:v>
                </c:pt>
                <c:pt idx="78">
                  <c:v>281.3145591808093</c:v>
                </c:pt>
                <c:pt idx="79">
                  <c:v>159.14790086451106</c:v>
                </c:pt>
                <c:pt idx="80">
                  <c:v>146.56408906588445</c:v>
                </c:pt>
                <c:pt idx="81">
                  <c:v>71.01675989818894</c:v>
                </c:pt>
                <c:pt idx="82">
                  <c:v>39.99700333954811</c:v>
                </c:pt>
                <c:pt idx="83">
                  <c:v>25.608703882557677</c:v>
                </c:pt>
                <c:pt idx="84">
                  <c:v>17.784892887344125</c:v>
                </c:pt>
                <c:pt idx="85">
                  <c:v>13.064842011453127</c:v>
                </c:pt>
                <c:pt idx="86">
                  <c:v>10.000464507947703</c:v>
                </c:pt>
                <c:pt idx="87">
                  <c:v>7.899251195284611</c:v>
                </c:pt>
                <c:pt idx="88">
                  <c:v>6.39621690536143</c:v>
                </c:pt>
                <c:pt idx="89">
                  <c:v>2.8373409368220632</c:v>
                </c:pt>
                <c:pt idx="90">
                  <c:v>1.593210607834581</c:v>
                </c:pt>
                <c:pt idx="91">
                  <c:v>0.7063716473690347</c:v>
                </c:pt>
                <c:pt idx="92">
                  <c:v>0.3967912717051915</c:v>
                </c:pt>
                <c:pt idx="93">
                  <c:v>0.25374643027137617</c:v>
                </c:pt>
                <c:pt idx="94">
                  <c:v>0.17612801075431236</c:v>
                </c:pt>
                <c:pt idx="95">
                  <c:v>0.12935991627635773</c:v>
                </c:pt>
                <c:pt idx="96">
                  <c:v>0.09902027720473164</c:v>
                </c:pt>
                <c:pt idx="97">
                  <c:v>0.07822657323859386</c:v>
                </c:pt>
                <c:pt idx="98">
                  <c:v>0.06335661802013476</c:v>
                </c:pt>
              </c:numCache>
            </c:numRef>
          </c:yVal>
          <c:smooth val="0"/>
        </c:ser>
        <c:axId val="54464611"/>
        <c:axId val="50538788"/>
      </c:scatterChart>
      <c:valAx>
        <c:axId val="54464611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38788"/>
        <c:crossesAt val="0.001"/>
        <c:crossBetween val="midCat"/>
        <c:dispUnits/>
        <c:majorUnit val="10"/>
        <c:minorUnit val="10"/>
      </c:valAx>
      <c:valAx>
        <c:axId val="50538788"/>
        <c:scaling>
          <c:logBase val="10"/>
          <c:orientation val="minMax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64611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1975"/>
          <c:w val="0.152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Rate Response - V / N/s</a:t>
            </a:r>
          </a:p>
        </c:rich>
      </c:tx>
      <c:layout>
        <c:manualLayout>
          <c:xMode val="factor"/>
          <c:yMode val="factor"/>
          <c:x val="0.1685"/>
          <c:y val="0.04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25"/>
          <c:y val="0.02125"/>
          <c:w val="0.9575"/>
          <c:h val="0.90675"/>
        </c:manualLayout>
      </c:layout>
      <c:scatterChart>
        <c:scatterStyle val="smooth"/>
        <c:varyColors val="0"/>
        <c:ser>
          <c:idx val="0"/>
          <c:order val="0"/>
          <c:tx>
            <c:v>1/B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Control!$A$21:$A$109</c:f>
              <c:numCache>
                <c:ptCount val="8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</c:numCache>
            </c:numRef>
          </c:xVal>
          <c:yVal>
            <c:numRef>
              <c:f>Control!$O$21:$O$109</c:f>
              <c:numCache>
                <c:ptCount val="89"/>
                <c:pt idx="0">
                  <c:v>397854.57774966746</c:v>
                </c:pt>
                <c:pt idx="1">
                  <c:v>397801.78829460056</c:v>
                </c:pt>
                <c:pt idx="2">
                  <c:v>397757.27894760034</c:v>
                </c:pt>
                <c:pt idx="3">
                  <c:v>397651.1521183564</c:v>
                </c:pt>
                <c:pt idx="4">
                  <c:v>397510.0466073706</c:v>
                </c:pt>
                <c:pt idx="5">
                  <c:v>397330.85355286615</c:v>
                </c:pt>
                <c:pt idx="6">
                  <c:v>397112.9341871907</c:v>
                </c:pt>
                <c:pt idx="7">
                  <c:v>396856.208670937</c:v>
                </c:pt>
                <c:pt idx="8">
                  <c:v>396560.7903773768</c:v>
                </c:pt>
                <c:pt idx="9">
                  <c:v>396226.8858026019</c:v>
                </c:pt>
                <c:pt idx="10">
                  <c:v>395854.7601144164</c:v>
                </c:pt>
                <c:pt idx="11">
                  <c:v>393432.91097082035</c:v>
                </c:pt>
                <c:pt idx="12">
                  <c:v>390116.0787340344</c:v>
                </c:pt>
                <c:pt idx="13">
                  <c:v>381082.8405801116</c:v>
                </c:pt>
                <c:pt idx="14">
                  <c:v>369429.42750733794</c:v>
                </c:pt>
                <c:pt idx="15">
                  <c:v>355907.1440879511</c:v>
                </c:pt>
                <c:pt idx="16">
                  <c:v>341235.98454740737</c:v>
                </c:pt>
                <c:pt idx="17">
                  <c:v>326034.4054881293</c:v>
                </c:pt>
                <c:pt idx="18">
                  <c:v>310788.92832808185</c:v>
                </c:pt>
                <c:pt idx="19">
                  <c:v>295853.6957902642</c:v>
                </c:pt>
                <c:pt idx="20">
                  <c:v>281467.14012503996</c:v>
                </c:pt>
                <c:pt idx="21">
                  <c:v>220850.15029069723</c:v>
                </c:pt>
                <c:pt idx="22">
                  <c:v>178077.1965033266</c:v>
                </c:pt>
                <c:pt idx="23">
                  <c:v>125933.90475816812</c:v>
                </c:pt>
                <c:pt idx="24">
                  <c:v>96591.17735135634</c:v>
                </c:pt>
                <c:pt idx="25">
                  <c:v>78105.84956342225</c:v>
                </c:pt>
                <c:pt idx="26">
                  <c:v>65474.58384339564</c:v>
                </c:pt>
                <c:pt idx="27">
                  <c:v>56323.45937801331</c:v>
                </c:pt>
                <c:pt idx="28">
                  <c:v>49398.83505280144</c:v>
                </c:pt>
                <c:pt idx="29">
                  <c:v>43980.92575581635</c:v>
                </c:pt>
                <c:pt idx="30">
                  <c:v>39628.49925440562</c:v>
                </c:pt>
                <c:pt idx="31">
                  <c:v>26490.46830723382</c:v>
                </c:pt>
                <c:pt idx="32">
                  <c:v>19885.409580779968</c:v>
                </c:pt>
                <c:pt idx="33">
                  <c:v>13262.829928529927</c:v>
                </c:pt>
                <c:pt idx="34">
                  <c:v>9946.056129672876</c:v>
                </c:pt>
                <c:pt idx="35">
                  <c:v>7954.158144057423</c:v>
                </c:pt>
                <c:pt idx="36">
                  <c:v>6625.226321318087</c:v>
                </c:pt>
                <c:pt idx="37">
                  <c:v>5675.289587204915</c:v>
                </c:pt>
                <c:pt idx="38">
                  <c:v>4962.2841492202</c:v>
                </c:pt>
                <c:pt idx="39">
                  <c:v>4407.259836766062</c:v>
                </c:pt>
                <c:pt idx="40">
                  <c:v>3962.836660923288</c:v>
                </c:pt>
                <c:pt idx="41">
                  <c:v>3598.8595416425546</c:v>
                </c:pt>
                <c:pt idx="42">
                  <c:v>3295.223213933744</c:v>
                </c:pt>
                <c:pt idx="43">
                  <c:v>3038.0077829183138</c:v>
                </c:pt>
                <c:pt idx="44">
                  <c:v>2817.2700784986027</c:v>
                </c:pt>
                <c:pt idx="45">
                  <c:v>2625.7182905093973</c:v>
                </c:pt>
                <c:pt idx="46">
                  <c:v>1952.6206094818315</c:v>
                </c:pt>
                <c:pt idx="47">
                  <c:v>1271.4645569674703</c:v>
                </c:pt>
                <c:pt idx="48">
                  <c:v>924.303712229735</c:v>
                </c:pt>
                <c:pt idx="49">
                  <c:v>712.2601638044245</c:v>
                </c:pt>
                <c:pt idx="50">
                  <c:v>568.9852507394124</c:v>
                </c:pt>
                <c:pt idx="51">
                  <c:v>465.8958592270247</c:v>
                </c:pt>
                <c:pt idx="52">
                  <c:v>388.53324360282613</c:v>
                </c:pt>
                <c:pt idx="53">
                  <c:v>328.7161389377112</c:v>
                </c:pt>
                <c:pt idx="54">
                  <c:v>281.41915956624166</c:v>
                </c:pt>
                <c:pt idx="55">
                  <c:v>147.13315666745845</c:v>
                </c:pt>
                <c:pt idx="56">
                  <c:v>122.81419753509283</c:v>
                </c:pt>
                <c:pt idx="57">
                  <c:v>88.9525625609205</c:v>
                </c:pt>
                <c:pt idx="58">
                  <c:v>59.091383769990486</c:v>
                </c:pt>
                <c:pt idx="59">
                  <c:v>41.92638065655962</c:v>
                </c:pt>
                <c:pt idx="60">
                  <c:v>34.28677649116118</c:v>
                </c:pt>
                <c:pt idx="61">
                  <c:v>24.115582218794295</c:v>
                </c:pt>
                <c:pt idx="62">
                  <c:v>15.599574760879259</c:v>
                </c:pt>
                <c:pt idx="63">
                  <c:v>10.897088554949931</c:v>
                </c:pt>
                <c:pt idx="64">
                  <c:v>8.034811313284017</c:v>
                </c:pt>
                <c:pt idx="65">
                  <c:v>6.166090144161444</c:v>
                </c:pt>
                <c:pt idx="66">
                  <c:v>4.879844084807118</c:v>
                </c:pt>
                <c:pt idx="67">
                  <c:v>3.9572567918440376</c:v>
                </c:pt>
                <c:pt idx="68">
                  <c:v>1.7636510560718388</c:v>
                </c:pt>
                <c:pt idx="69">
                  <c:v>0.9930341914335045</c:v>
                </c:pt>
                <c:pt idx="70">
                  <c:v>0.4416812590481841</c:v>
                </c:pt>
                <c:pt idx="71">
                  <c:v>0.24852760697742254</c:v>
                </c:pt>
                <c:pt idx="72">
                  <c:v>0.1590933885415242</c:v>
                </c:pt>
                <c:pt idx="73">
                  <c:v>0.11050343076598888</c:v>
                </c:pt>
                <c:pt idx="74">
                  <c:v>0.0812023562669787</c:v>
                </c:pt>
                <c:pt idx="75">
                  <c:v>0.06218367807552464</c:v>
                </c:pt>
                <c:pt idx="76">
                  <c:v>0.049144008870426546</c:v>
                </c:pt>
                <c:pt idx="77">
                  <c:v>0.039816546569998196</c:v>
                </c:pt>
                <c:pt idx="78">
                  <c:v>0.017724293708861076</c:v>
                </c:pt>
                <c:pt idx="79">
                  <c:v>0.009991675720054362</c:v>
                </c:pt>
                <c:pt idx="80">
                  <c:v>0.009200204886289516</c:v>
                </c:pt>
                <c:pt idx="81">
                  <c:v>0.0044681710537824906</c:v>
                </c:pt>
                <c:pt idx="82">
                  <c:v>0.0025347689657641533</c:v>
                </c:pt>
                <c:pt idx="83">
                  <c:v>0.0016397084775596031</c:v>
                </c:pt>
                <c:pt idx="84">
                  <c:v>0.001153328951770683</c:v>
                </c:pt>
                <c:pt idx="85">
                  <c:v>0.0008598836679319471</c:v>
                </c:pt>
                <c:pt idx="86">
                  <c:v>0.0006692551621356272</c:v>
                </c:pt>
                <c:pt idx="87">
                  <c:v>0.000538394114488827</c:v>
                </c:pt>
                <c:pt idx="88">
                  <c:v>0.0004446290533500978</c:v>
                </c:pt>
              </c:numCache>
            </c:numRef>
          </c:yVal>
          <c:smooth val="1"/>
        </c:ser>
        <c:ser>
          <c:idx val="1"/>
          <c:order val="1"/>
          <c:tx>
            <c:v>dF/dt Resp - V / N/s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Control!$A$21:$A$109</c:f>
              <c:numCache>
                <c:ptCount val="8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</c:numCache>
            </c:numRef>
          </c:xVal>
          <c:yVal>
            <c:numRef>
              <c:f>Control!$AL$21:$AL$109</c:f>
              <c:numCache>
                <c:ptCount val="89"/>
                <c:pt idx="0">
                  <c:v>397853.558542533</c:v>
                </c:pt>
                <c:pt idx="1">
                  <c:v>397800.27645155555</c:v>
                </c:pt>
                <c:pt idx="2">
                  <c:v>397755.0776807537</c:v>
                </c:pt>
                <c:pt idx="3">
                  <c:v>397646.9830439765</c:v>
                </c:pt>
                <c:pt idx="4">
                  <c:v>397503.1275792643</c:v>
                </c:pt>
                <c:pt idx="5">
                  <c:v>397320.40739572374</c:v>
                </c:pt>
                <c:pt idx="6">
                  <c:v>397098.1900795027</c:v>
                </c:pt>
                <c:pt idx="7">
                  <c:v>396836.4035071504</c:v>
                </c:pt>
                <c:pt idx="8">
                  <c:v>396535.1701019094</c:v>
                </c:pt>
                <c:pt idx="9">
                  <c:v>396194.70671053196</c:v>
                </c:pt>
                <c:pt idx="10">
                  <c:v>395815.290114147</c:v>
                </c:pt>
                <c:pt idx="11">
                  <c:v>393346.4942415326</c:v>
                </c:pt>
                <c:pt idx="12">
                  <c:v>389966.79640927666</c:v>
                </c:pt>
                <c:pt idx="13">
                  <c:v>380770.6424868046</c:v>
                </c:pt>
                <c:pt idx="14">
                  <c:v>368924.5884053906</c:v>
                </c:pt>
                <c:pt idx="15">
                  <c:v>355202.72038976604</c:v>
                </c:pt>
                <c:pt idx="16">
                  <c:v>340342.98746953445</c:v>
                </c:pt>
                <c:pt idx="17">
                  <c:v>324975.38121064915</c:v>
                </c:pt>
                <c:pt idx="18">
                  <c:v>309591.99906182825</c:v>
                </c:pt>
                <c:pt idx="19">
                  <c:v>294548.0742367631</c:v>
                </c:pt>
                <c:pt idx="20">
                  <c:v>280080.2848279856</c:v>
                </c:pt>
                <c:pt idx="21">
                  <c:v>219347.1766848547</c:v>
                </c:pt>
                <c:pt idx="22">
                  <c:v>176678.7180236049</c:v>
                </c:pt>
                <c:pt idx="23">
                  <c:v>124822.7235616235</c:v>
                </c:pt>
                <c:pt idx="24">
                  <c:v>95700.40063530595</c:v>
                </c:pt>
                <c:pt idx="25">
                  <c:v>77370.1838125449</c:v>
                </c:pt>
                <c:pt idx="26">
                  <c:v>64850.679238508914</c:v>
                </c:pt>
                <c:pt idx="27">
                  <c:v>55782.9613202147</c:v>
                </c:pt>
                <c:pt idx="28">
                  <c:v>48922.61794812958</c:v>
                </c:pt>
                <c:pt idx="29">
                  <c:v>43555.61769889091</c:v>
                </c:pt>
                <c:pt idx="30">
                  <c:v>39244.43725374235</c:v>
                </c:pt>
                <c:pt idx="31">
                  <c:v>26232.49047123195</c:v>
                </c:pt>
                <c:pt idx="32">
                  <c:v>19691.55107362692</c:v>
                </c:pt>
                <c:pt idx="33">
                  <c:v>13133.674426193385</c:v>
                </c:pt>
                <c:pt idx="34">
                  <c:v>9849.487133329863</c:v>
                </c:pt>
                <c:pt idx="35">
                  <c:v>7877.2545697178375</c:v>
                </c:pt>
                <c:pt idx="36">
                  <c:v>6561.511842967614</c:v>
                </c:pt>
                <c:pt idx="37">
                  <c:v>5621.058417476117</c:v>
                </c:pt>
                <c:pt idx="38">
                  <c:v>4915.217974222842</c:v>
                </c:pt>
                <c:pt idx="39">
                  <c:v>4365.811851999984</c:v>
                </c:pt>
                <c:pt idx="40">
                  <c:v>3925.923202247188</c:v>
                </c:pt>
                <c:pt idx="41">
                  <c:v>3565.6917457628474</c:v>
                </c:pt>
                <c:pt idx="42">
                  <c:v>3265.208765212016</c:v>
                </c:pt>
                <c:pt idx="43">
                  <c:v>3010.690426202904</c:v>
                </c:pt>
                <c:pt idx="44">
                  <c:v>2792.290724013468</c:v>
                </c:pt>
                <c:pt idx="45">
                  <c:v>2602.7890792295334</c:v>
                </c:pt>
                <c:pt idx="46">
                  <c:v>1937.118733328905</c:v>
                </c:pt>
                <c:pt idx="47">
                  <c:v>1264.083628050708</c:v>
                </c:pt>
                <c:pt idx="48">
                  <c:v>921.4262281630031</c:v>
                </c:pt>
                <c:pt idx="49">
                  <c:v>712.2040681131517</c:v>
                </c:pt>
                <c:pt idx="50">
                  <c:v>570.7494426156322</c:v>
                </c:pt>
                <c:pt idx="51">
                  <c:v>468.81491195034994</c:v>
                </c:pt>
                <c:pt idx="52">
                  <c:v>392.1469156012713</c:v>
                </c:pt>
                <c:pt idx="53">
                  <c:v>332.7044116039163</c:v>
                </c:pt>
                <c:pt idx="54">
                  <c:v>285.5620478775221</c:v>
                </c:pt>
                <c:pt idx="55">
                  <c:v>150.65247046951953</c:v>
                </c:pt>
                <c:pt idx="56">
                  <c:v>125.9833601129578</c:v>
                </c:pt>
                <c:pt idx="57">
                  <c:v>91.47061955068024</c:v>
                </c:pt>
                <c:pt idx="58">
                  <c:v>60.85413963288177</c:v>
                </c:pt>
                <c:pt idx="59">
                  <c:v>43.16840144341223</c:v>
                </c:pt>
                <c:pt idx="60">
                  <c:v>35.27518370066835</c:v>
                </c:pt>
                <c:pt idx="61">
                  <c:v>24.744798508094046</c:v>
                </c:pt>
                <c:pt idx="62">
                  <c:v>15.90955048153088</c:v>
                </c:pt>
                <c:pt idx="63">
                  <c:v>11.02482130520402</c:v>
                </c:pt>
                <c:pt idx="64">
                  <c:v>8.050976721334424</c:v>
                </c:pt>
                <c:pt idx="65">
                  <c:v>6.110461590132001</c:v>
                </c:pt>
                <c:pt idx="66">
                  <c:v>4.77642982656869</c:v>
                </c:pt>
                <c:pt idx="67">
                  <c:v>3.8213845238587076</c:v>
                </c:pt>
                <c:pt idx="68">
                  <c:v>1.5702288622676597</c:v>
                </c:pt>
                <c:pt idx="69">
                  <c:v>0.8036213159147276</c:v>
                </c:pt>
                <c:pt idx="70">
                  <c:v>0.29213719994001186</c:v>
                </c:pt>
                <c:pt idx="71">
                  <c:v>0.13581079380048683</c:v>
                </c:pt>
                <c:pt idx="72">
                  <c:v>0.07326030554623321</c:v>
                </c:pt>
                <c:pt idx="73">
                  <c:v>0.04372198992624903</c:v>
                </c:pt>
                <c:pt idx="74">
                  <c:v>0.028076217514385035</c:v>
                </c:pt>
                <c:pt idx="75">
                  <c:v>0.019056670103312853</c:v>
                </c:pt>
                <c:pt idx="76">
                  <c:v>0.013507442050314481</c:v>
                </c:pt>
                <c:pt idx="77">
                  <c:v>0.009912759117080075</c:v>
                </c:pt>
                <c:pt idx="78">
                  <c:v>0.0029848401771562214</c:v>
                </c:pt>
                <c:pt idx="79">
                  <c:v>0.001266458755264293</c:v>
                </c:pt>
                <c:pt idx="80">
                  <c:v>0.001118933144078108</c:v>
                </c:pt>
                <c:pt idx="81">
                  <c:v>0.00037675561267223515</c:v>
                </c:pt>
                <c:pt idx="82">
                  <c:v>0.00015914301975880317</c:v>
                </c:pt>
                <c:pt idx="83">
                  <c:v>8.151503618171333E-05</c:v>
                </c:pt>
                <c:pt idx="84">
                  <c:v>4.717589358967847E-05</c:v>
                </c:pt>
                <c:pt idx="85">
                  <c:v>2.9704774097677515E-05</c:v>
                </c:pt>
                <c:pt idx="86">
                  <c:v>1.9895291995686695E-05</c:v>
                </c:pt>
                <c:pt idx="87">
                  <c:v>1.3968943049490094E-05</c:v>
                </c:pt>
                <c:pt idx="88">
                  <c:v>1.0179895375762174E-05</c:v>
                </c:pt>
              </c:numCache>
            </c:numRef>
          </c:yVal>
          <c:smooth val="1"/>
        </c:ser>
        <c:axId val="63795749"/>
        <c:axId val="53082982"/>
      </c:scatterChart>
      <c:valAx>
        <c:axId val="637957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53082982"/>
        <c:crossesAt val="1E-05"/>
        <c:crossBetween val="midCat"/>
        <c:dispUnits/>
      </c:valAx>
      <c:valAx>
        <c:axId val="5308298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Volts / N/s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crossAx val="63795749"/>
        <c:crossesAt val="1E-0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21025"/>
          <c:w val="0.253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of 
Force Response</a:t>
            </a:r>
          </a:p>
        </c:rich>
      </c:tx>
      <c:layout>
        <c:manualLayout>
          <c:xMode val="factor"/>
          <c:yMode val="factor"/>
          <c:x val="0.1905"/>
          <c:y val="0.076"/>
        </c:manualLayout>
      </c:layout>
      <c:spPr>
        <a:solidFill>
          <a:srgbClr val="FFFFFF"/>
        </a:solidFill>
        <a:ln w="12700">
          <a:solidFill/>
        </a:ln>
      </c:spPr>
    </c:title>
    <c:plotArea>
      <c:layout>
        <c:manualLayout>
          <c:xMode val="edge"/>
          <c:yMode val="edge"/>
          <c:x val="0.0355"/>
          <c:y val="0.02375"/>
          <c:w val="0.942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Phase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Control!$AK$21:$AK$119</c:f>
              <c:numCache>
                <c:ptCount val="99"/>
                <c:pt idx="0">
                  <c:v>88.50968616141914</c:v>
                </c:pt>
                <c:pt idx="1">
                  <c:v>88.52438220355248</c:v>
                </c:pt>
                <c:pt idx="2">
                  <c:v>88.38718153784187</c:v>
                </c:pt>
                <c:pt idx="3">
                  <c:v>87.96100896301868</c:v>
                </c:pt>
                <c:pt idx="4">
                  <c:v>87.45920278537382</c:v>
                </c:pt>
                <c:pt idx="5">
                  <c:v>86.92747019483612</c:v>
                </c:pt>
                <c:pt idx="6">
                  <c:v>86.38112478512667</c:v>
                </c:pt>
                <c:pt idx="7">
                  <c:v>85.8267953023286</c:v>
                </c:pt>
                <c:pt idx="8">
                  <c:v>85.26785302502404</c:v>
                </c:pt>
                <c:pt idx="9">
                  <c:v>84.70622084733213</c:v>
                </c:pt>
                <c:pt idx="10">
                  <c:v>84.14309684442155</c:v>
                </c:pt>
                <c:pt idx="11">
                  <c:v>81.32667450492315</c:v>
                </c:pt>
                <c:pt idx="12">
                  <c:v>78.53710720471854</c:v>
                </c:pt>
                <c:pt idx="13">
                  <c:v>73.1159693755028</c:v>
                </c:pt>
                <c:pt idx="14">
                  <c:v>67.98107385287467</c:v>
                </c:pt>
                <c:pt idx="15">
                  <c:v>63.1888992402706</c:v>
                </c:pt>
                <c:pt idx="16">
                  <c:v>58.767149207907686</c:v>
                </c:pt>
                <c:pt idx="17">
                  <c:v>54.72124565079865</c:v>
                </c:pt>
                <c:pt idx="18">
                  <c:v>51.04056811860346</c:v>
                </c:pt>
                <c:pt idx="19">
                  <c:v>47.704177763064244</c:v>
                </c:pt>
                <c:pt idx="20">
                  <c:v>44.6854614478419</c:v>
                </c:pt>
                <c:pt idx="21">
                  <c:v>33.36966854943253</c:v>
                </c:pt>
                <c:pt idx="22">
                  <c:v>26.24849794689954</c:v>
                </c:pt>
                <c:pt idx="23">
                  <c:v>18.11282489263803</c:v>
                </c:pt>
                <c:pt idx="24">
                  <c:v>13.690171265373744</c:v>
                </c:pt>
                <c:pt idx="25">
                  <c:v>10.92881424455734</c:v>
                </c:pt>
                <c:pt idx="26">
                  <c:v>9.039634660615388</c:v>
                </c:pt>
                <c:pt idx="27">
                  <c:v>7.661800793227188</c:v>
                </c:pt>
                <c:pt idx="28">
                  <c:v>6.608450581203154</c:v>
                </c:pt>
                <c:pt idx="29">
                  <c:v>5.773541504451408</c:v>
                </c:pt>
                <c:pt idx="30">
                  <c:v>5.092558515631797</c:v>
                </c:pt>
                <c:pt idx="31">
                  <c:v>2.9284852955858054</c:v>
                </c:pt>
                <c:pt idx="32">
                  <c:v>1.7011521626946156</c:v>
                </c:pt>
                <c:pt idx="33">
                  <c:v>0.18845328015782628</c:v>
                </c:pt>
                <c:pt idx="34">
                  <c:v>-0.8519229703891873</c:v>
                </c:pt>
                <c:pt idx="35">
                  <c:v>-1.7028571984617098</c:v>
                </c:pt>
                <c:pt idx="36">
                  <c:v>-2.4587274460246573</c:v>
                </c:pt>
                <c:pt idx="37">
                  <c:v>-3.159953897291805</c:v>
                </c:pt>
                <c:pt idx="38">
                  <c:v>-3.8267061514713787</c:v>
                </c:pt>
                <c:pt idx="39">
                  <c:v>-4.470149921178269</c:v>
                </c:pt>
                <c:pt idx="40">
                  <c:v>-5.096948193063322</c:v>
                </c:pt>
                <c:pt idx="41">
                  <c:v>-5.711307946608979</c:v>
                </c:pt>
                <c:pt idx="42">
                  <c:v>-6.31600378853689</c:v>
                </c:pt>
                <c:pt idx="43">
                  <c:v>-6.912929268349401</c:v>
                </c:pt>
                <c:pt idx="44">
                  <c:v>-7.503411988585885</c:v>
                </c:pt>
                <c:pt idx="45">
                  <c:v>-8.088402719916749</c:v>
                </c:pt>
                <c:pt idx="46">
                  <c:v>-10.949795279549901</c:v>
                </c:pt>
                <c:pt idx="47">
                  <c:v>-16.431263508609515</c:v>
                </c:pt>
                <c:pt idx="48">
                  <c:v>-21.61438266690064</c:v>
                </c:pt>
                <c:pt idx="49">
                  <c:v>-26.479506416427856</c:v>
                </c:pt>
                <c:pt idx="50">
                  <c:v>-31.008905653113125</c:v>
                </c:pt>
                <c:pt idx="51">
                  <c:v>-35.19753681567568</c:v>
                </c:pt>
                <c:pt idx="52">
                  <c:v>-39.05232618072229</c:v>
                </c:pt>
                <c:pt idx="53">
                  <c:v>-42.58900949472795</c:v>
                </c:pt>
                <c:pt idx="54">
                  <c:v>-45.82881765509826</c:v>
                </c:pt>
                <c:pt idx="55">
                  <c:v>-58.41639808079297</c:v>
                </c:pt>
                <c:pt idx="56">
                  <c:v>-61.58930277159694</c:v>
                </c:pt>
                <c:pt idx="57">
                  <c:v>-66.88156038962508</c:v>
                </c:pt>
                <c:pt idx="58">
                  <c:v>-72.96334696446678</c:v>
                </c:pt>
                <c:pt idx="59">
                  <c:v>-77.61301492120405</c:v>
                </c:pt>
                <c:pt idx="60">
                  <c:v>-80.18605910793333</c:v>
                </c:pt>
                <c:pt idx="61">
                  <c:v>-84.48677370631691</c:v>
                </c:pt>
                <c:pt idx="62">
                  <c:v>-89.59438990844217</c:v>
                </c:pt>
                <c:pt idx="63">
                  <c:v>-93.74954399092778</c:v>
                </c:pt>
                <c:pt idx="64">
                  <c:v>-97.32437220090242</c:v>
                </c:pt>
                <c:pt idx="65">
                  <c:v>-100.51037385841558</c:v>
                </c:pt>
                <c:pt idx="66">
                  <c:v>-103.4150786152047</c:v>
                </c:pt>
                <c:pt idx="67">
                  <c:v>-106.10308364041414</c:v>
                </c:pt>
                <c:pt idx="68">
                  <c:v>-117.34706775418123</c:v>
                </c:pt>
                <c:pt idx="69">
                  <c:v>-126.08691666780922</c:v>
                </c:pt>
                <c:pt idx="70">
                  <c:v>-138.63066778112608</c:v>
                </c:pt>
                <c:pt idx="71">
                  <c:v>-146.89845820151388</c:v>
                </c:pt>
                <c:pt idx="72">
                  <c:v>-152.59985053567868</c:v>
                </c:pt>
                <c:pt idx="73">
                  <c:v>-156.70985022333417</c:v>
                </c:pt>
                <c:pt idx="74">
                  <c:v>-159.78931421051965</c:v>
                </c:pt>
                <c:pt idx="75">
                  <c:v>-162.1722161456422</c:v>
                </c:pt>
                <c:pt idx="76">
                  <c:v>-164.06594246183388</c:v>
                </c:pt>
                <c:pt idx="77">
                  <c:v>-165.60461585411994</c:v>
                </c:pt>
                <c:pt idx="78">
                  <c:v>-170.33360387791868</c:v>
                </c:pt>
                <c:pt idx="79">
                  <c:v>-172.75525393155715</c:v>
                </c:pt>
                <c:pt idx="80">
                  <c:v>-173.0529803103811</c:v>
                </c:pt>
                <c:pt idx="81">
                  <c:v>-175.2172115262114</c:v>
                </c:pt>
                <c:pt idx="82">
                  <c:v>-176.47069104403815</c:v>
                </c:pt>
                <c:pt idx="83">
                  <c:v>-177.2358481671174</c:v>
                </c:pt>
                <c:pt idx="84">
                  <c:v>-177.75479177027964</c:v>
                </c:pt>
                <c:pt idx="85">
                  <c:v>-178.13160859232008</c:v>
                </c:pt>
                <c:pt idx="86">
                  <c:v>-178.41842865803798</c:v>
                </c:pt>
                <c:pt idx="87">
                  <c:v>-178.64427182556625</c:v>
                </c:pt>
                <c:pt idx="88">
                  <c:v>-178.8266153188894</c:v>
                </c:pt>
                <c:pt idx="89">
                  <c:v>-179.37534273396932</c:v>
                </c:pt>
                <c:pt idx="90">
                  <c:v>-179.6345722473025</c:v>
                </c:pt>
                <c:pt idx="91">
                  <c:v>-179.8503725985334</c:v>
                </c:pt>
                <c:pt idx="92">
                  <c:v>-179.92710608835233</c:v>
                </c:pt>
                <c:pt idx="93">
                  <c:v>-179.9597787230901</c:v>
                </c:pt>
                <c:pt idx="94">
                  <c:v>-179.97568504514638</c:v>
                </c:pt>
                <c:pt idx="95">
                  <c:v>-179.98425544673648</c:v>
                </c:pt>
                <c:pt idx="96">
                  <c:v>-179.98924890284724</c:v>
                </c:pt>
                <c:pt idx="97">
                  <c:v>-179.99234317579447</c:v>
                </c:pt>
                <c:pt idx="98">
                  <c:v>-179.9943579580952</c:v>
                </c:pt>
              </c:numCache>
            </c:numRef>
          </c:yVal>
          <c:smooth val="1"/>
        </c:ser>
        <c:axId val="27841767"/>
        <c:axId val="64884392"/>
      </c:scatterChart>
      <c:valAx>
        <c:axId val="27841767"/>
        <c:scaling>
          <c:logBase val="10"/>
          <c:orientation val="minMax"/>
          <c:max val="100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884392"/>
        <c:crossesAt val="-300"/>
        <c:crossBetween val="midCat"/>
        <c:dispUnits/>
      </c:valAx>
      <c:valAx>
        <c:axId val="64884392"/>
        <c:scaling>
          <c:orientation val="minMax"/>
          <c:max val="120"/>
          <c:min val="-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Angle -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841767"/>
        <c:crossesAt val="1E-06"/>
        <c:crossBetween val="midCat"/>
        <c:dispUnits/>
        <c:majorUnit val="6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>
    <tabColor indexed="42"/>
  </sheetPr>
  <sheetViews>
    <sheetView tabSelected="1" workbookViewId="0" zoomScale="86"/>
  </sheetViews>
  <pageMargins left="0.5" right="0.5" top="1" bottom="1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6">
    <tabColor indexed="31"/>
  </sheetPr>
  <sheetViews>
    <sheetView workbookViewId="0" zoomScale="85"/>
  </sheetViews>
  <pageMargins left="0.5" right="0.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7">
    <tabColor indexed="31"/>
  </sheetPr>
  <sheetViews>
    <sheetView workbookViewId="0" zoomScale="85"/>
  </sheetViews>
  <pageMargins left="0.5" right="0.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8">
    <tabColor indexed="31"/>
  </sheetPr>
  <sheetViews>
    <sheetView workbookViewId="0" zoomScale="85"/>
  </sheetViews>
  <pageMargins left="0.5" right="0.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>
    <tabColor indexed="42"/>
  </sheetPr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indexed="42"/>
  </sheetPr>
  <sheetViews>
    <sheetView workbookViewId="0" zoomScale="85"/>
  </sheetViews>
  <pageMargins left="0.5" right="0.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>
    <tabColor indexed="26"/>
  </sheetPr>
  <sheetViews>
    <sheetView workbookViewId="0" zoomScale="105"/>
  </sheetViews>
  <pageMargins left="0.5" right="0.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>
    <tabColor indexed="26"/>
  </sheetPr>
  <sheetViews>
    <sheetView workbookViewId="0" zoomScale="10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indexed="26"/>
  </sheetPr>
  <sheetViews>
    <sheetView workbookViewId="0" zoomScale="86"/>
  </sheetViews>
  <pageMargins left="0.5" right="0.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">
    <tabColor indexed="26"/>
  </sheetPr>
  <sheetViews>
    <sheetView workbookViewId="0" zoomScale="8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>
    <tabColor indexed="26"/>
  </sheetPr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6"/>
  </sheetPr>
  <sheetViews>
    <sheetView workbookViewId="0" zoomScale="86"/>
  </sheetViews>
  <pageMargins left="0.5" right="0.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0</xdr:rowOff>
    </xdr:from>
    <xdr:to>
      <xdr:col>0</xdr:col>
      <xdr:colOff>1800225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66606"/>
        <a:stretch>
          <a:fillRect/>
        </a:stretch>
      </xdr:blipFill>
      <xdr:spPr>
        <a:xfrm>
          <a:off x="19050" y="790575"/>
          <a:ext cx="1781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44</xdr:row>
      <xdr:rowOff>123825</xdr:rowOff>
    </xdr:from>
    <xdr:to>
      <xdr:col>12</xdr:col>
      <xdr:colOff>57150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00050" y="7658100"/>
        <a:ext cx="690562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47625</xdr:rowOff>
    </xdr:from>
    <xdr:to>
      <xdr:col>11</xdr:col>
      <xdr:colOff>390525</xdr:colOff>
      <xdr:row>121</xdr:row>
      <xdr:rowOff>85725</xdr:rowOff>
    </xdr:to>
    <xdr:graphicFrame>
      <xdr:nvGraphicFramePr>
        <xdr:cNvPr id="1" name="Chart 1"/>
        <xdr:cNvGraphicFramePr/>
      </xdr:nvGraphicFramePr>
      <xdr:xfrm>
        <a:off x="0" y="10410825"/>
        <a:ext cx="804862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119</xdr:row>
      <xdr:rowOff>0</xdr:rowOff>
    </xdr:from>
    <xdr:to>
      <xdr:col>15</xdr:col>
      <xdr:colOff>9525</xdr:colOff>
      <xdr:row>119</xdr:row>
      <xdr:rowOff>0</xdr:rowOff>
    </xdr:to>
    <xdr:graphicFrame>
      <xdr:nvGraphicFramePr>
        <xdr:cNvPr id="1" name="Chart 415"/>
        <xdr:cNvGraphicFramePr/>
      </xdr:nvGraphicFramePr>
      <xdr:xfrm>
        <a:off x="5038725" y="2276475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9"/>
    <pageSetUpPr fitToPage="1"/>
  </sheetPr>
  <dimension ref="A1:N207"/>
  <sheetViews>
    <sheetView workbookViewId="0" topLeftCell="A1">
      <pane ySplit="5" topLeftCell="BM18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0.7109375" style="0" customWidth="1"/>
  </cols>
  <sheetData>
    <row r="1" spans="1:14" ht="17.25">
      <c r="A1" s="183" t="s">
        <v>663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81" t="s">
        <v>308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  <c r="M2" s="182"/>
      <c r="N2" s="182"/>
    </row>
    <row r="3" spans="1:14" ht="15">
      <c r="A3" s="181" t="s">
        <v>662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  <c r="M3" s="182"/>
      <c r="N3" s="182"/>
    </row>
    <row r="4" spans="1:14" ht="15">
      <c r="A4" s="181" t="s">
        <v>672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  <c r="M5" s="182"/>
      <c r="N5" s="182"/>
    </row>
    <row r="6" spans="1:14" ht="1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2"/>
      <c r="M6" s="182"/>
      <c r="N6" s="182"/>
    </row>
    <row r="7" spans="1:14" ht="15">
      <c r="A7" s="181" t="s">
        <v>306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2"/>
      <c r="M7" s="182"/>
      <c r="N7" s="182"/>
    </row>
    <row r="8" spans="1:14" ht="15">
      <c r="A8" s="181" t="s">
        <v>304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2"/>
      <c r="M8" s="182"/>
      <c r="N8" s="182"/>
    </row>
    <row r="9" spans="1:14" ht="1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M9" s="182"/>
      <c r="N9" s="182"/>
    </row>
    <row r="10" spans="1:14" ht="15">
      <c r="A10" s="181" t="s">
        <v>305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2"/>
      <c r="M10" s="182"/>
      <c r="N10" s="182"/>
    </row>
    <row r="11" spans="1:14" ht="1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2"/>
      <c r="M11" s="182"/>
      <c r="N11" s="182"/>
    </row>
    <row r="12" spans="1:14" ht="15">
      <c r="A12" s="181" t="s">
        <v>357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2"/>
      <c r="M12" s="182"/>
      <c r="N12" s="182"/>
    </row>
    <row r="13" spans="1:14" ht="15">
      <c r="A13" s="181" t="s">
        <v>358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182"/>
      <c r="N13" s="182"/>
    </row>
    <row r="14" spans="1:14" ht="1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2"/>
      <c r="M14" s="182"/>
      <c r="N14" s="182"/>
    </row>
    <row r="15" spans="1:14" ht="1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/>
      <c r="M15" s="182"/>
      <c r="N15" s="182"/>
    </row>
    <row r="16" spans="1:14" ht="15">
      <c r="A16" s="181" t="s">
        <v>307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M16" s="182"/>
      <c r="N16" s="182"/>
    </row>
    <row r="17" spans="1:14" ht="1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2"/>
      <c r="M17" s="182"/>
      <c r="N17" s="182"/>
    </row>
    <row r="18" spans="1:14" ht="15">
      <c r="A18" s="181" t="s">
        <v>309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  <c r="M18" s="182"/>
      <c r="N18" s="182"/>
    </row>
    <row r="19" spans="1:14" ht="1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2"/>
      <c r="M19" s="182"/>
      <c r="N19" s="182"/>
    </row>
    <row r="20" spans="1:14" ht="15">
      <c r="A20" s="196">
        <v>39538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2"/>
      <c r="M20" s="182"/>
      <c r="N20" s="182"/>
    </row>
    <row r="21" spans="1:14" ht="15">
      <c r="A21" s="181" t="s">
        <v>322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82"/>
      <c r="N21" s="182"/>
    </row>
    <row r="22" spans="1:14" ht="15">
      <c r="A22" s="181" t="s">
        <v>323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2"/>
      <c r="M22" s="182"/>
      <c r="N22" s="182"/>
    </row>
    <row r="23" spans="1:14" ht="15">
      <c r="A23" s="181" t="s">
        <v>324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2"/>
      <c r="M23" s="182"/>
      <c r="N23" s="182"/>
    </row>
    <row r="24" spans="1:14" ht="15">
      <c r="A24" s="181" t="s">
        <v>330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2"/>
      <c r="M24" s="182"/>
      <c r="N24" s="182"/>
    </row>
    <row r="25" spans="1:14" ht="15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M25" s="182"/>
      <c r="N25" s="182"/>
    </row>
    <row r="26" spans="1:14" ht="15">
      <c r="A26" s="196">
        <v>39539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2"/>
      <c r="M26" s="182"/>
      <c r="N26" s="182"/>
    </row>
    <row r="27" spans="1:14" ht="15">
      <c r="A27" s="181" t="s">
        <v>336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2"/>
      <c r="M27" s="182"/>
      <c r="N27" s="182"/>
    </row>
    <row r="28" spans="1:14" ht="15">
      <c r="A28" s="181" t="s">
        <v>337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2"/>
      <c r="M28" s="182"/>
      <c r="N28" s="182"/>
    </row>
    <row r="29" spans="1:14" ht="15">
      <c r="A29" s="181" t="s">
        <v>340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2"/>
      <c r="M29" s="182"/>
      <c r="N29" s="182"/>
    </row>
    <row r="30" spans="1:14" ht="15">
      <c r="A30" s="181" t="s">
        <v>343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M30" s="182"/>
      <c r="N30" s="182"/>
    </row>
    <row r="31" spans="1:14" ht="1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2"/>
      <c r="M31" s="182"/>
      <c r="N31" s="182"/>
    </row>
    <row r="32" spans="1:14" ht="15">
      <c r="A32" s="181" t="s">
        <v>341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2"/>
      <c r="M32" s="182"/>
      <c r="N32" s="182"/>
    </row>
    <row r="33" spans="1:14" ht="15" customHeight="1">
      <c r="A33" s="209" t="s">
        <v>486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M33" s="182"/>
      <c r="N33" s="182"/>
    </row>
    <row r="34" spans="1:14" ht="15" customHeight="1">
      <c r="A34" s="209" t="s">
        <v>490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2"/>
      <c r="M34" s="182"/>
      <c r="N34" s="182"/>
    </row>
    <row r="35" spans="1:14" ht="15" customHeight="1">
      <c r="A35" s="333" t="s">
        <v>487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2"/>
      <c r="M35" s="182"/>
      <c r="N35" s="182"/>
    </row>
    <row r="36" spans="1:14" ht="15" customHeight="1">
      <c r="A36" s="333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82"/>
      <c r="N36" s="182"/>
    </row>
    <row r="37" spans="1:14" ht="15">
      <c r="A37" s="181" t="s">
        <v>342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2"/>
      <c r="M37" s="182"/>
      <c r="N37" s="182"/>
    </row>
    <row r="38" spans="1:14" ht="15" customHeight="1">
      <c r="A38" s="209" t="s">
        <v>488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2"/>
      <c r="N38" s="182"/>
    </row>
    <row r="39" spans="1:14" ht="15">
      <c r="A39" s="64" t="s">
        <v>489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2"/>
      <c r="M39" s="182"/>
      <c r="N39" s="182"/>
    </row>
    <row r="40" spans="1:14" ht="15">
      <c r="A40" s="64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2"/>
      <c r="N40" s="182"/>
    </row>
    <row r="41" spans="1:14" ht="15">
      <c r="A41" s="196">
        <v>39540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/>
      <c r="M41" s="182"/>
      <c r="N41" s="182"/>
    </row>
    <row r="42" spans="1:14" ht="15">
      <c r="A42" s="181" t="s">
        <v>346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  <c r="M42" s="182"/>
      <c r="N42" s="182"/>
    </row>
    <row r="43" spans="1:14" ht="15">
      <c r="A43" s="181" t="s">
        <v>349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2"/>
      <c r="M43" s="182"/>
      <c r="N43" s="182"/>
    </row>
    <row r="44" spans="1:14" ht="18">
      <c r="A44" s="181" t="s">
        <v>347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2"/>
      <c r="M44" s="182"/>
      <c r="N44" s="182"/>
    </row>
    <row r="45" spans="1:14" ht="15">
      <c r="A45" s="181" t="s">
        <v>348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2"/>
      <c r="M45" s="182"/>
      <c r="N45" s="182"/>
    </row>
    <row r="46" spans="1:14" ht="15">
      <c r="A46" s="181" t="s">
        <v>350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82"/>
      <c r="N46" s="182"/>
    </row>
    <row r="47" spans="1:14" ht="1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2"/>
      <c r="M47" s="182"/>
      <c r="N47" s="182"/>
    </row>
    <row r="48" spans="1:14" ht="15">
      <c r="A48" s="181" t="s">
        <v>351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/>
      <c r="M48" s="182"/>
      <c r="N48" s="182"/>
    </row>
    <row r="49" spans="1:14" ht="1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2"/>
      <c r="M49" s="182"/>
      <c r="N49" s="182"/>
    </row>
    <row r="50" ht="15">
      <c r="A50" s="196">
        <v>39541</v>
      </c>
    </row>
    <row r="51" ht="15">
      <c r="A51" s="181" t="s">
        <v>353</v>
      </c>
    </row>
    <row r="52" ht="15">
      <c r="A52" s="181"/>
    </row>
    <row r="53" ht="15">
      <c r="A53" s="181" t="s">
        <v>352</v>
      </c>
    </row>
    <row r="54" ht="15">
      <c r="A54" s="181"/>
    </row>
    <row r="55" ht="15">
      <c r="A55" s="196">
        <v>39546</v>
      </c>
    </row>
    <row r="56" ht="15">
      <c r="A56" s="181" t="s">
        <v>355</v>
      </c>
    </row>
    <row r="57" ht="15">
      <c r="A57" s="181"/>
    </row>
    <row r="58" ht="15">
      <c r="A58" s="196">
        <v>39549</v>
      </c>
    </row>
    <row r="59" ht="15">
      <c r="A59" s="181" t="s">
        <v>359</v>
      </c>
    </row>
    <row r="60" ht="15">
      <c r="A60" s="181"/>
    </row>
    <row r="61" ht="15">
      <c r="A61" s="196">
        <v>39552</v>
      </c>
    </row>
    <row r="62" ht="15">
      <c r="A62" s="181" t="s">
        <v>360</v>
      </c>
    </row>
    <row r="63" ht="15">
      <c r="A63" s="181" t="s">
        <v>361</v>
      </c>
    </row>
    <row r="64" ht="15">
      <c r="A64" s="181" t="s">
        <v>362</v>
      </c>
    </row>
    <row r="65" ht="15">
      <c r="A65" s="181" t="s">
        <v>363</v>
      </c>
    </row>
    <row r="66" ht="15">
      <c r="A66" s="181" t="s">
        <v>368</v>
      </c>
    </row>
    <row r="67" ht="15">
      <c r="A67" s="64"/>
    </row>
    <row r="68" ht="15">
      <c r="A68" s="236">
        <v>39553</v>
      </c>
    </row>
    <row r="69" ht="15">
      <c r="A69" s="64" t="s">
        <v>369</v>
      </c>
    </row>
    <row r="70" ht="15">
      <c r="A70" s="64"/>
    </row>
    <row r="71" ht="15">
      <c r="A71" s="236">
        <v>39569</v>
      </c>
    </row>
    <row r="72" ht="15">
      <c r="A72" s="64" t="s">
        <v>372</v>
      </c>
    </row>
    <row r="73" ht="15">
      <c r="A73" s="64" t="s">
        <v>373</v>
      </c>
    </row>
    <row r="74" ht="18">
      <c r="A74" s="64" t="s">
        <v>374</v>
      </c>
    </row>
    <row r="75" ht="15">
      <c r="A75" s="64"/>
    </row>
    <row r="76" ht="15">
      <c r="A76" s="236">
        <v>39595</v>
      </c>
    </row>
    <row r="77" ht="18">
      <c r="A77" s="64" t="s">
        <v>375</v>
      </c>
    </row>
    <row r="78" ht="15">
      <c r="A78" s="64"/>
    </row>
    <row r="79" ht="15">
      <c r="A79" s="236">
        <v>39607</v>
      </c>
    </row>
    <row r="80" ht="15">
      <c r="A80" s="64" t="s">
        <v>376</v>
      </c>
    </row>
    <row r="81" ht="15">
      <c r="A81" s="64"/>
    </row>
    <row r="82" ht="15">
      <c r="A82" s="236">
        <v>39608</v>
      </c>
    </row>
    <row r="83" ht="15">
      <c r="A83" s="64" t="s">
        <v>378</v>
      </c>
    </row>
    <row r="84" ht="18">
      <c r="A84" s="64" t="s">
        <v>515</v>
      </c>
    </row>
    <row r="85" ht="15">
      <c r="A85" s="64" t="s">
        <v>379</v>
      </c>
    </row>
    <row r="86" ht="15">
      <c r="A86" s="64"/>
    </row>
    <row r="87" ht="15">
      <c r="A87" s="236">
        <v>39609</v>
      </c>
    </row>
    <row r="88" ht="15">
      <c r="A88" s="64" t="s">
        <v>394</v>
      </c>
    </row>
    <row r="89" ht="15">
      <c r="A89" s="64" t="s">
        <v>392</v>
      </c>
    </row>
    <row r="90" ht="15">
      <c r="A90" s="64" t="s">
        <v>509</v>
      </c>
    </row>
    <row r="91" ht="15">
      <c r="A91" s="64" t="s">
        <v>393</v>
      </c>
    </row>
    <row r="92" ht="15">
      <c r="A92" s="64" t="s">
        <v>397</v>
      </c>
    </row>
    <row r="93" ht="15">
      <c r="A93" s="64" t="s">
        <v>414</v>
      </c>
    </row>
    <row r="94" ht="15">
      <c r="A94" s="64" t="s">
        <v>395</v>
      </c>
    </row>
    <row r="95" ht="15">
      <c r="A95" s="64" t="s">
        <v>396</v>
      </c>
    </row>
    <row r="96" ht="15">
      <c r="A96" s="64"/>
    </row>
    <row r="97" ht="15">
      <c r="A97" s="236">
        <v>39664</v>
      </c>
    </row>
    <row r="98" ht="15">
      <c r="A98" s="64" t="s">
        <v>418</v>
      </c>
    </row>
    <row r="99" ht="15">
      <c r="A99" s="64" t="s">
        <v>416</v>
      </c>
    </row>
    <row r="100" ht="18">
      <c r="A100" s="64" t="s">
        <v>415</v>
      </c>
    </row>
    <row r="101" ht="18">
      <c r="A101" s="64" t="s">
        <v>516</v>
      </c>
    </row>
    <row r="102" ht="15">
      <c r="A102" s="64" t="s">
        <v>417</v>
      </c>
    </row>
    <row r="103" ht="15">
      <c r="A103" s="64" t="s">
        <v>419</v>
      </c>
    </row>
    <row r="104" ht="15">
      <c r="A104" s="291" t="s">
        <v>420</v>
      </c>
    </row>
    <row r="105" ht="15">
      <c r="A105" s="64"/>
    </row>
    <row r="106" ht="15">
      <c r="A106" s="236">
        <v>39665</v>
      </c>
    </row>
    <row r="107" ht="15">
      <c r="A107" s="64" t="s">
        <v>533</v>
      </c>
    </row>
    <row r="108" ht="15.75">
      <c r="A108" s="64" t="s">
        <v>534</v>
      </c>
    </row>
    <row r="109" ht="15">
      <c r="A109" s="64" t="s">
        <v>481</v>
      </c>
    </row>
    <row r="110" ht="15.75">
      <c r="A110" s="64" t="s">
        <v>532</v>
      </c>
    </row>
    <row r="111" ht="15">
      <c r="A111" s="64" t="s">
        <v>480</v>
      </c>
    </row>
    <row r="112" ht="15">
      <c r="A112" s="64" t="s">
        <v>429</v>
      </c>
    </row>
    <row r="113" ht="15">
      <c r="A113" s="64" t="s">
        <v>479</v>
      </c>
    </row>
    <row r="114" ht="15">
      <c r="A114" s="236"/>
    </row>
    <row r="115" ht="15">
      <c r="A115" s="236">
        <v>39666</v>
      </c>
    </row>
    <row r="116" ht="15">
      <c r="A116" s="236" t="s">
        <v>507</v>
      </c>
    </row>
    <row r="117" ht="15.75">
      <c r="A117" s="64" t="s">
        <v>527</v>
      </c>
    </row>
    <row r="118" ht="15">
      <c r="A118" s="64" t="s">
        <v>531</v>
      </c>
    </row>
    <row r="119" ht="15">
      <c r="A119" s="64"/>
    </row>
    <row r="120" ht="15">
      <c r="A120" s="236">
        <v>39667</v>
      </c>
    </row>
    <row r="121" ht="15">
      <c r="A121" s="64" t="s">
        <v>530</v>
      </c>
    </row>
    <row r="122" ht="15">
      <c r="A122" s="64"/>
    </row>
    <row r="123" ht="15">
      <c r="A123" s="236">
        <v>39668</v>
      </c>
    </row>
    <row r="124" ht="15.75">
      <c r="A124" s="64" t="s">
        <v>529</v>
      </c>
    </row>
    <row r="125" ht="15">
      <c r="A125" s="64" t="s">
        <v>519</v>
      </c>
    </row>
    <row r="126" ht="15">
      <c r="A126" s="64" t="s">
        <v>526</v>
      </c>
    </row>
    <row r="127" ht="18">
      <c r="A127" s="64" t="s">
        <v>528</v>
      </c>
    </row>
    <row r="128" ht="15">
      <c r="A128" s="64" t="s">
        <v>536</v>
      </c>
    </row>
    <row r="129" ht="15">
      <c r="A129" s="64"/>
    </row>
    <row r="130" ht="15">
      <c r="A130" s="236">
        <v>39670</v>
      </c>
    </row>
    <row r="131" ht="15">
      <c r="A131" s="64" t="s">
        <v>539</v>
      </c>
    </row>
    <row r="132" ht="15">
      <c r="A132" s="64"/>
    </row>
    <row r="133" ht="15">
      <c r="A133" s="236">
        <v>39671</v>
      </c>
    </row>
    <row r="134" ht="15">
      <c r="A134" s="64" t="s">
        <v>538</v>
      </c>
    </row>
    <row r="135" ht="15">
      <c r="A135" s="64" t="s">
        <v>540</v>
      </c>
    </row>
    <row r="136" ht="15">
      <c r="A136" s="64"/>
    </row>
    <row r="137" ht="15">
      <c r="A137" s="236">
        <v>39673</v>
      </c>
    </row>
    <row r="138" ht="15">
      <c r="A138" s="64" t="s">
        <v>543</v>
      </c>
    </row>
    <row r="139" ht="15">
      <c r="A139" s="64" t="s">
        <v>542</v>
      </c>
    </row>
    <row r="140" ht="15">
      <c r="A140" s="64"/>
    </row>
    <row r="141" ht="15">
      <c r="A141" s="236">
        <v>39674</v>
      </c>
    </row>
    <row r="142" ht="15">
      <c r="A142" s="64" t="s">
        <v>545</v>
      </c>
    </row>
    <row r="143" ht="15">
      <c r="A143" s="64" t="s">
        <v>544</v>
      </c>
    </row>
    <row r="144" ht="15">
      <c r="A144" s="64" t="s">
        <v>550</v>
      </c>
    </row>
    <row r="145" ht="15">
      <c r="A145" s="64"/>
    </row>
    <row r="146" ht="15">
      <c r="A146" s="236">
        <v>39675</v>
      </c>
    </row>
    <row r="147" ht="15">
      <c r="A147" s="64" t="s">
        <v>551</v>
      </c>
    </row>
    <row r="148" ht="15">
      <c r="A148" s="64"/>
    </row>
    <row r="149" ht="15">
      <c r="A149" s="236">
        <v>39676</v>
      </c>
    </row>
    <row r="150" ht="18">
      <c r="A150" s="64" t="s">
        <v>552</v>
      </c>
    </row>
    <row r="151" ht="15">
      <c r="A151" s="64"/>
    </row>
    <row r="152" ht="15">
      <c r="A152" s="236">
        <v>39679</v>
      </c>
    </row>
    <row r="153" ht="15">
      <c r="A153" s="64" t="s">
        <v>553</v>
      </c>
    </row>
    <row r="154" ht="15">
      <c r="A154" s="90"/>
    </row>
    <row r="155" ht="15">
      <c r="A155" s="236">
        <v>39680</v>
      </c>
    </row>
    <row r="156" ht="15">
      <c r="A156" s="90" t="s">
        <v>554</v>
      </c>
    </row>
    <row r="157" ht="15">
      <c r="A157" s="384"/>
    </row>
    <row r="158" ht="15">
      <c r="A158" s="236">
        <v>39681</v>
      </c>
    </row>
    <row r="159" ht="15">
      <c r="A159" s="384" t="s">
        <v>555</v>
      </c>
    </row>
    <row r="161" ht="15">
      <c r="A161" s="236">
        <v>39682</v>
      </c>
    </row>
    <row r="162" ht="15">
      <c r="A162" s="64" t="s">
        <v>553</v>
      </c>
    </row>
    <row r="163" ht="15">
      <c r="A163" s="90"/>
    </row>
    <row r="164" ht="15">
      <c r="A164" s="236">
        <v>39684</v>
      </c>
    </row>
    <row r="165" ht="15">
      <c r="A165" s="90" t="s">
        <v>559</v>
      </c>
    </row>
    <row r="166" ht="18">
      <c r="A166" s="90" t="s">
        <v>558</v>
      </c>
    </row>
    <row r="167" ht="15">
      <c r="A167" s="90" t="s">
        <v>560</v>
      </c>
    </row>
    <row r="169" ht="15">
      <c r="A169" s="236">
        <v>39690</v>
      </c>
    </row>
    <row r="170" ht="15">
      <c r="A170" s="90" t="s">
        <v>608</v>
      </c>
    </row>
    <row r="171" ht="15">
      <c r="A171" s="64"/>
    </row>
    <row r="172" ht="15">
      <c r="A172" s="413">
        <v>39691</v>
      </c>
    </row>
    <row r="173" ht="18">
      <c r="A173" s="64" t="s">
        <v>610</v>
      </c>
    </row>
    <row r="174" ht="15">
      <c r="A174" s="64"/>
    </row>
    <row r="175" ht="15">
      <c r="A175" s="413">
        <v>39769</v>
      </c>
    </row>
    <row r="176" ht="15">
      <c r="A176" s="64" t="s">
        <v>611</v>
      </c>
    </row>
    <row r="177" ht="15">
      <c r="A177" s="64"/>
    </row>
    <row r="178" ht="15">
      <c r="A178" s="413">
        <v>39822</v>
      </c>
    </row>
    <row r="179" ht="18">
      <c r="A179" s="64" t="s">
        <v>612</v>
      </c>
    </row>
    <row r="180" ht="15">
      <c r="A180" s="64"/>
    </row>
    <row r="181" ht="15">
      <c r="A181" s="413">
        <v>39833</v>
      </c>
    </row>
    <row r="182" ht="15">
      <c r="A182" s="64" t="s">
        <v>621</v>
      </c>
    </row>
    <row r="183" ht="15">
      <c r="A183" s="64"/>
    </row>
    <row r="184" ht="15">
      <c r="A184" s="413">
        <v>39921</v>
      </c>
    </row>
    <row r="185" ht="15">
      <c r="A185" s="64" t="s">
        <v>627</v>
      </c>
    </row>
    <row r="186" ht="15">
      <c r="A186" s="64" t="s">
        <v>628</v>
      </c>
    </row>
    <row r="187" ht="15">
      <c r="A187" s="64"/>
    </row>
    <row r="188" ht="15">
      <c r="A188" s="413">
        <v>39922</v>
      </c>
    </row>
    <row r="189" ht="15">
      <c r="A189" s="64" t="s">
        <v>629</v>
      </c>
    </row>
    <row r="190" ht="15">
      <c r="A190" s="64" t="s">
        <v>630</v>
      </c>
    </row>
    <row r="191" ht="15">
      <c r="A191" s="64"/>
    </row>
    <row r="192" ht="15">
      <c r="A192" s="413">
        <v>39924</v>
      </c>
    </row>
    <row r="193" ht="18">
      <c r="A193" s="64" t="s">
        <v>632</v>
      </c>
    </row>
    <row r="194" ht="18">
      <c r="A194" s="64" t="s">
        <v>633</v>
      </c>
    </row>
    <row r="195" ht="15">
      <c r="A195" s="64"/>
    </row>
    <row r="196" ht="15">
      <c r="A196" s="413">
        <v>39925</v>
      </c>
    </row>
    <row r="197" ht="18">
      <c r="A197" s="64" t="s">
        <v>634</v>
      </c>
    </row>
    <row r="198" ht="15">
      <c r="A198" s="64" t="s">
        <v>635</v>
      </c>
    </row>
    <row r="199" ht="15">
      <c r="A199" s="64"/>
    </row>
    <row r="200" ht="15">
      <c r="A200" s="413">
        <v>39931</v>
      </c>
    </row>
    <row r="201" ht="15">
      <c r="A201" s="64" t="s">
        <v>650</v>
      </c>
    </row>
    <row r="202" ht="15">
      <c r="A202" s="64"/>
    </row>
    <row r="203" ht="15">
      <c r="A203" s="413">
        <v>39957</v>
      </c>
    </row>
    <row r="204" ht="15">
      <c r="A204" s="64" t="s">
        <v>655</v>
      </c>
    </row>
    <row r="205" ht="15">
      <c r="A205" s="64"/>
    </row>
    <row r="206" ht="15">
      <c r="A206" s="413">
        <v>39958</v>
      </c>
    </row>
    <row r="207" ht="15">
      <c r="A207" s="64" t="s">
        <v>661</v>
      </c>
    </row>
  </sheetData>
  <sheetProtection sheet="1" objects="1" scenarios="1"/>
  <printOptions/>
  <pageMargins left="0.48" right="0.44" top="0.62" bottom="0.58" header="0.5" footer="0.5"/>
  <pageSetup fitToHeight="10" fitToWidth="1"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L61"/>
  <sheetViews>
    <sheetView zoomScale="85" zoomScaleNormal="85" workbookViewId="0" topLeftCell="A70">
      <selection activeCell="N111" sqref="N111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4" width="10.421875" style="0" customWidth="1"/>
    <col min="6" max="6" width="13.28125" style="0" customWidth="1"/>
    <col min="7" max="7" width="10.421875" style="0" customWidth="1"/>
    <col min="8" max="8" width="11.421875" style="0" customWidth="1"/>
    <col min="9" max="9" width="9.28125" style="0" customWidth="1"/>
    <col min="10" max="10" width="10.140625" style="0" customWidth="1"/>
    <col min="11" max="11" width="9.421875" style="0" customWidth="1"/>
    <col min="12" max="12" width="12.421875" style="0" customWidth="1"/>
  </cols>
  <sheetData>
    <row r="1" spans="2:4" ht="12.75">
      <c r="B1" s="24"/>
      <c r="C1" s="24">
        <v>2.4E-05</v>
      </c>
      <c r="D1" s="24"/>
    </row>
    <row r="2" spans="2:4" ht="12.75">
      <c r="B2" s="24"/>
      <c r="C2" s="24">
        <v>1.72E-06</v>
      </c>
      <c r="D2" s="24"/>
    </row>
    <row r="3" spans="2:4" ht="12.75">
      <c r="B3" s="24"/>
      <c r="C3">
        <f>1/80</f>
        <v>0.0125</v>
      </c>
      <c r="D3" s="24" t="s">
        <v>176</v>
      </c>
    </row>
    <row r="4" spans="2:4" ht="12.75">
      <c r="B4" s="24"/>
      <c r="C4" s="24">
        <v>9.3E-06</v>
      </c>
      <c r="D4" s="24"/>
    </row>
    <row r="5" spans="3:6" ht="12.75">
      <c r="C5" t="s">
        <v>177</v>
      </c>
      <c r="D5" s="17">
        <v>1</v>
      </c>
      <c r="E5" s="17" t="s">
        <v>166</v>
      </c>
      <c r="F5" s="17" t="s">
        <v>167</v>
      </c>
    </row>
    <row r="6" spans="3:6" ht="12.75">
      <c r="C6" t="s">
        <v>178</v>
      </c>
      <c r="D6" s="24"/>
      <c r="E6" s="24">
        <f>D8/2</f>
        <v>0.042083333333333334</v>
      </c>
      <c r="F6" s="24">
        <f>SQRT(4*D9-D8*D8)/2</f>
        <v>0.06299663791734357</v>
      </c>
    </row>
    <row r="7" ht="12.75">
      <c r="D7" s="24"/>
    </row>
    <row r="8" spans="3:4" ht="12.75">
      <c r="C8" t="s">
        <v>179</v>
      </c>
      <c r="D8" s="24">
        <f>C2/C1+C3</f>
        <v>0.08416666666666667</v>
      </c>
    </row>
    <row r="9" spans="3:4" ht="12.75">
      <c r="C9" t="s">
        <v>180</v>
      </c>
      <c r="D9" s="24">
        <f>C3/C1*(C2+C4)</f>
        <v>0.005739583333333334</v>
      </c>
    </row>
    <row r="11" spans="4:5" ht="12.75">
      <c r="D11" s="24"/>
      <c r="E11" s="24"/>
    </row>
    <row r="12" spans="1:12" ht="12.75">
      <c r="A12" s="15" t="s">
        <v>181</v>
      </c>
      <c r="B12" s="15" t="s">
        <v>182</v>
      </c>
      <c r="C12" s="15" t="s">
        <v>68</v>
      </c>
      <c r="D12" s="86" t="s">
        <v>183</v>
      </c>
      <c r="E12" s="86" t="s">
        <v>166</v>
      </c>
      <c r="F12" s="15" t="s">
        <v>167</v>
      </c>
      <c r="G12" s="15" t="s">
        <v>184</v>
      </c>
      <c r="H12" s="15" t="s">
        <v>166</v>
      </c>
      <c r="I12" s="15" t="s">
        <v>167</v>
      </c>
      <c r="J12" s="15" t="s">
        <v>185</v>
      </c>
      <c r="K12" s="15" t="s">
        <v>186</v>
      </c>
      <c r="L12" s="15" t="s">
        <v>187</v>
      </c>
    </row>
    <row r="13" spans="4:9" ht="12.75">
      <c r="D13" s="26"/>
      <c r="G13" s="26"/>
      <c r="H13" s="26"/>
      <c r="I13" s="24"/>
    </row>
    <row r="15" spans="1:12" ht="12.75">
      <c r="A15" s="24">
        <v>0.0001</v>
      </c>
      <c r="B15" s="21">
        <f aca="true" t="shared" si="0" ref="B15:B61">LOG10(A15)</f>
        <v>-4</v>
      </c>
      <c r="C15" s="21">
        <f aca="true" t="shared" si="1" ref="C15:C61">2*PI()*A15</f>
        <v>0.0006283185307179586</v>
      </c>
      <c r="D15" s="21">
        <f aca="true" t="shared" si="2" ref="D15:D61">SQRT(E15*E15+F15*F15)</f>
        <v>0.01251578140493208</v>
      </c>
      <c r="E15">
        <f aca="true" t="shared" si="3" ref="E15:E61">$C$3</f>
        <v>0.0125</v>
      </c>
      <c r="F15">
        <f aca="true" t="shared" si="4" ref="F15:F61">C15</f>
        <v>0.0006283185307179586</v>
      </c>
      <c r="G15" s="21">
        <f aca="true" t="shared" si="5" ref="G15:G61">SQRT(H15*H15+I15*I15)</f>
        <v>0.005739188904643074</v>
      </c>
      <c r="H15" s="21">
        <f aca="true" t="shared" si="6" ref="H15:H61">$C$3/$C$1*($C$2+$C$4)-C15*C15</f>
        <v>0.005739188549157291</v>
      </c>
      <c r="I15" s="24">
        <f aca="true" t="shared" si="7" ref="I15:I61">$C$1*(+$C$2/$C$1+$C$3)</f>
        <v>2.02E-06</v>
      </c>
      <c r="J15" s="24">
        <f aca="true" t="shared" si="8" ref="J15:J61">D15/G15</f>
        <v>2.180757875874526</v>
      </c>
      <c r="K15" s="24">
        <f aca="true" t="shared" si="9" ref="K15:K61">J15*C15</f>
        <v>0.0013702105844210985</v>
      </c>
      <c r="L15" s="19">
        <f aca="true" t="shared" si="10" ref="L15:L61">20*LOG10(J15)</f>
        <v>6.772148992373084</v>
      </c>
    </row>
    <row r="16" spans="1:12" ht="12.75">
      <c r="A16" s="24">
        <v>0.00015</v>
      </c>
      <c r="B16" s="21">
        <f t="shared" si="0"/>
        <v>-3.8239087409443187</v>
      </c>
      <c r="C16" s="21">
        <f t="shared" si="1"/>
        <v>0.0009424777960769378</v>
      </c>
      <c r="D16" s="21">
        <f t="shared" si="2"/>
        <v>0.012535480221997804</v>
      </c>
      <c r="E16">
        <f t="shared" si="3"/>
        <v>0.0125</v>
      </c>
      <c r="F16">
        <f t="shared" si="4"/>
        <v>0.0009424777960769378</v>
      </c>
      <c r="G16" s="21">
        <f t="shared" si="5"/>
        <v>0.005738695424453589</v>
      </c>
      <c r="H16" s="21">
        <f t="shared" si="6"/>
        <v>0.005738695068937236</v>
      </c>
      <c r="I16" s="24">
        <f t="shared" si="7"/>
        <v>2.02E-06</v>
      </c>
      <c r="J16" s="24">
        <f t="shared" si="8"/>
        <v>2.1843780327810953</v>
      </c>
      <c r="K16" s="24">
        <f t="shared" si="9"/>
        <v>0.002058727794134404</v>
      </c>
      <c r="L16" s="19">
        <f t="shared" si="10"/>
        <v>6.786556007975814</v>
      </c>
    </row>
    <row r="17" spans="1:12" ht="12.75">
      <c r="A17" s="24">
        <v>0.0002</v>
      </c>
      <c r="B17" s="21">
        <f t="shared" si="0"/>
        <v>-3.6989700043360187</v>
      </c>
      <c r="C17" s="21">
        <f t="shared" si="1"/>
        <v>0.0012566370614359172</v>
      </c>
      <c r="D17" s="21">
        <f t="shared" si="2"/>
        <v>0.012563006674525583</v>
      </c>
      <c r="E17">
        <f t="shared" si="3"/>
        <v>0.0125</v>
      </c>
      <c r="F17">
        <f t="shared" si="4"/>
        <v>0.0012566370614359172</v>
      </c>
      <c r="G17" s="21">
        <f t="shared" si="5"/>
        <v>0.005738004552188317</v>
      </c>
      <c r="H17" s="21">
        <f t="shared" si="6"/>
        <v>0.00573800419662916</v>
      </c>
      <c r="I17" s="24">
        <f t="shared" si="7"/>
        <v>2.02E-06</v>
      </c>
      <c r="J17" s="24">
        <f t="shared" si="8"/>
        <v>2.1894382551046245</v>
      </c>
      <c r="K17" s="24">
        <f t="shared" si="9"/>
        <v>0.0027513292550900574</v>
      </c>
      <c r="L17" s="19">
        <f t="shared" si="10"/>
        <v>6.806654041072514</v>
      </c>
    </row>
    <row r="18" spans="1:12" ht="12.75">
      <c r="A18" s="24">
        <v>0.0003</v>
      </c>
      <c r="B18" s="21">
        <f t="shared" si="0"/>
        <v>-3.5228787452803374</v>
      </c>
      <c r="C18" s="21">
        <f t="shared" si="1"/>
        <v>0.0018849555921538756</v>
      </c>
      <c r="D18" s="21">
        <f t="shared" si="2"/>
        <v>0.012641323411114526</v>
      </c>
      <c r="E18">
        <f t="shared" si="3"/>
        <v>0.0125</v>
      </c>
      <c r="F18">
        <f t="shared" si="4"/>
        <v>0.0018849555921538756</v>
      </c>
      <c r="G18" s="21">
        <f t="shared" si="5"/>
        <v>0.005736030631430457</v>
      </c>
      <c r="H18" s="21">
        <f t="shared" si="6"/>
        <v>0.005736030275748942</v>
      </c>
      <c r="I18" s="24">
        <f t="shared" si="7"/>
        <v>2.02E-06</v>
      </c>
      <c r="J18" s="24">
        <f t="shared" si="8"/>
        <v>2.2038451715802676</v>
      </c>
      <c r="K18" s="24">
        <f t="shared" si="9"/>
        <v>0.004154150280411543</v>
      </c>
      <c r="L18" s="19">
        <f t="shared" si="10"/>
        <v>6.863621608583629</v>
      </c>
    </row>
    <row r="19" spans="1:12" ht="12.75">
      <c r="A19" s="24">
        <v>0.0004</v>
      </c>
      <c r="B19" s="21">
        <f t="shared" si="0"/>
        <v>-3.3979400086720375</v>
      </c>
      <c r="C19" s="21">
        <f t="shared" si="1"/>
        <v>0.0025132741228718345</v>
      </c>
      <c r="D19" s="21">
        <f t="shared" si="2"/>
        <v>0.012750158697706364</v>
      </c>
      <c r="E19">
        <f t="shared" si="3"/>
        <v>0.0125</v>
      </c>
      <c r="F19">
        <f t="shared" si="4"/>
        <v>0.0025132741228718345</v>
      </c>
      <c r="G19" s="21">
        <f t="shared" si="5"/>
        <v>0.005733267142369594</v>
      </c>
      <c r="H19" s="21">
        <f t="shared" si="6"/>
        <v>0.005733266786516637</v>
      </c>
      <c r="I19" s="24">
        <f t="shared" si="7"/>
        <v>2.02E-06</v>
      </c>
      <c r="J19" s="24">
        <f t="shared" si="8"/>
        <v>2.223890563808029</v>
      </c>
      <c r="K19" s="24">
        <f t="shared" si="9"/>
        <v>0.005589246606117574</v>
      </c>
      <c r="L19" s="19">
        <f t="shared" si="10"/>
        <v>6.942268241800455</v>
      </c>
    </row>
    <row r="20" spans="1:12" ht="12.75">
      <c r="A20" s="24">
        <v>0.0005</v>
      </c>
      <c r="B20" s="21">
        <f t="shared" si="0"/>
        <v>-3.3010299956639813</v>
      </c>
      <c r="C20" s="21">
        <f t="shared" si="1"/>
        <v>0.0031415926535897933</v>
      </c>
      <c r="D20" s="21">
        <f t="shared" si="2"/>
        <v>0.012888739441896146</v>
      </c>
      <c r="E20">
        <f t="shared" si="3"/>
        <v>0.0125</v>
      </c>
      <c r="F20">
        <f t="shared" si="4"/>
        <v>0.0031415926535897933</v>
      </c>
      <c r="G20" s="21">
        <f t="shared" si="5"/>
        <v>0.00572971408500587</v>
      </c>
      <c r="H20" s="21">
        <f t="shared" si="6"/>
        <v>0.005729713728932245</v>
      </c>
      <c r="I20" s="24">
        <f t="shared" si="7"/>
        <v>2.02E-06</v>
      </c>
      <c r="J20" s="24">
        <f t="shared" si="8"/>
        <v>2.24945595027591</v>
      </c>
      <c r="K20" s="24">
        <f t="shared" si="9"/>
        <v>0.0070668742879606465</v>
      </c>
      <c r="L20" s="19">
        <f t="shared" si="10"/>
        <v>7.041549861217209</v>
      </c>
    </row>
    <row r="21" spans="1:12" ht="12.75">
      <c r="A21" s="24">
        <v>0.0007</v>
      </c>
      <c r="B21" s="21">
        <f t="shared" si="0"/>
        <v>-3.154901959985743</v>
      </c>
      <c r="C21" s="21">
        <f t="shared" si="1"/>
        <v>0.0043982297150257105</v>
      </c>
      <c r="D21" s="21">
        <f t="shared" si="2"/>
        <v>0.013251204648111626</v>
      </c>
      <c r="E21">
        <f t="shared" si="3"/>
        <v>0.0125</v>
      </c>
      <c r="F21">
        <f t="shared" si="4"/>
        <v>0.0043982297150257105</v>
      </c>
      <c r="G21" s="21">
        <f t="shared" si="5"/>
        <v>0.005720239265370614</v>
      </c>
      <c r="H21" s="21">
        <f t="shared" si="6"/>
        <v>0.0057202389087072</v>
      </c>
      <c r="I21" s="24">
        <f t="shared" si="7"/>
        <v>2.02E-06</v>
      </c>
      <c r="J21" s="24">
        <f t="shared" si="8"/>
        <v>2.3165472689809037</v>
      </c>
      <c r="K21" s="24">
        <f t="shared" si="9"/>
        <v>0.010188707034693469</v>
      </c>
      <c r="L21" s="19">
        <f t="shared" si="10"/>
        <v>7.296823327546937</v>
      </c>
    </row>
    <row r="22" spans="1:12" ht="12.75">
      <c r="A22" s="24">
        <v>0.001</v>
      </c>
      <c r="B22" s="21">
        <f t="shared" si="0"/>
        <v>-3</v>
      </c>
      <c r="C22" s="21">
        <f t="shared" si="1"/>
        <v>0.006283185307179587</v>
      </c>
      <c r="D22" s="21">
        <f t="shared" si="2"/>
        <v>0.013990297266475701</v>
      </c>
      <c r="E22">
        <f t="shared" si="3"/>
        <v>0.0125</v>
      </c>
      <c r="F22">
        <f t="shared" si="4"/>
        <v>0.006283185307179587</v>
      </c>
      <c r="G22" s="21">
        <f t="shared" si="5"/>
        <v>0.005700105273652202</v>
      </c>
      <c r="H22" s="21">
        <f t="shared" si="6"/>
        <v>0.005700104915728977</v>
      </c>
      <c r="I22" s="24">
        <f t="shared" si="7"/>
        <v>2.02E-06</v>
      </c>
      <c r="J22" s="24">
        <f t="shared" si="8"/>
        <v>2.4543927865935293</v>
      </c>
      <c r="K22" s="24">
        <f t="shared" si="9"/>
        <v>0.015421404694772026</v>
      </c>
      <c r="L22" s="19">
        <f t="shared" si="10"/>
        <v>7.7988813177764555</v>
      </c>
    </row>
    <row r="23" spans="1:12" ht="12.75">
      <c r="A23" s="24">
        <v>0.0014999999999999998</v>
      </c>
      <c r="B23" s="21">
        <f t="shared" si="0"/>
        <v>-2.8239087409443187</v>
      </c>
      <c r="C23" s="21">
        <f t="shared" si="1"/>
        <v>0.009424777960769378</v>
      </c>
      <c r="D23" s="21">
        <f t="shared" si="2"/>
        <v>0.015654917425837935</v>
      </c>
      <c r="E23">
        <f t="shared" si="3"/>
        <v>0.0125</v>
      </c>
      <c r="F23">
        <f t="shared" si="4"/>
        <v>0.009424777960769378</v>
      </c>
      <c r="G23" s="21">
        <f t="shared" si="5"/>
        <v>0.005650757254772496</v>
      </c>
      <c r="H23" s="21">
        <f t="shared" si="6"/>
        <v>0.00565075689372353</v>
      </c>
      <c r="I23" s="24">
        <f t="shared" si="7"/>
        <v>2.02E-06</v>
      </c>
      <c r="J23" s="24">
        <f t="shared" si="8"/>
        <v>2.770410534378585</v>
      </c>
      <c r="K23" s="24">
        <f t="shared" si="9"/>
        <v>0.0261105041466946</v>
      </c>
      <c r="L23" s="19">
        <f t="shared" si="10"/>
        <v>8.85088259864928</v>
      </c>
    </row>
    <row r="24" spans="1:12" ht="12.75">
      <c r="A24" s="24">
        <v>0.002</v>
      </c>
      <c r="B24" s="21">
        <f t="shared" si="0"/>
        <v>-2.6989700043360187</v>
      </c>
      <c r="C24" s="21">
        <f t="shared" si="1"/>
        <v>0.012566370614359173</v>
      </c>
      <c r="D24" s="21">
        <f t="shared" si="2"/>
        <v>0.017724662773024195</v>
      </c>
      <c r="E24">
        <f t="shared" si="3"/>
        <v>0.0125</v>
      </c>
      <c r="F24">
        <f t="shared" si="4"/>
        <v>0.012566370614359173</v>
      </c>
      <c r="G24" s="21">
        <f t="shared" si="5"/>
        <v>0.005581670028433762</v>
      </c>
      <c r="H24" s="21">
        <f t="shared" si="6"/>
        <v>0.0055816696629159045</v>
      </c>
      <c r="I24" s="24">
        <f t="shared" si="7"/>
        <v>2.02E-06</v>
      </c>
      <c r="J24" s="24">
        <f t="shared" si="8"/>
        <v>3.1755124689801493</v>
      </c>
      <c r="K24" s="24">
        <f t="shared" si="9"/>
        <v>0.039904666575723294</v>
      </c>
      <c r="L24" s="19">
        <f t="shared" si="10"/>
        <v>10.03627644761833</v>
      </c>
    </row>
    <row r="25" spans="1:12" ht="12.75">
      <c r="A25" s="24">
        <v>0.0029999999999999996</v>
      </c>
      <c r="B25" s="21">
        <f t="shared" si="0"/>
        <v>-2.5228787452803374</v>
      </c>
      <c r="C25" s="21">
        <f t="shared" si="1"/>
        <v>0.018849555921538756</v>
      </c>
      <c r="D25" s="21">
        <f t="shared" si="2"/>
        <v>0.022617598423334356</v>
      </c>
      <c r="E25">
        <f t="shared" si="3"/>
        <v>0.0125</v>
      </c>
      <c r="F25">
        <f t="shared" si="4"/>
        <v>0.018849555921538756</v>
      </c>
      <c r="G25" s="21">
        <f t="shared" si="5"/>
        <v>0.005384277953812162</v>
      </c>
      <c r="H25" s="21">
        <f t="shared" si="6"/>
        <v>0.005384277574894117</v>
      </c>
      <c r="I25" s="24">
        <f t="shared" si="7"/>
        <v>2.02E-06</v>
      </c>
      <c r="J25" s="24">
        <f t="shared" si="8"/>
        <v>4.200674374048744</v>
      </c>
      <c r="K25" s="24">
        <f t="shared" si="9"/>
        <v>0.07918084652180661</v>
      </c>
      <c r="L25" s="19">
        <f t="shared" si="10"/>
        <v>12.466380348042279</v>
      </c>
    </row>
    <row r="26" spans="1:12" ht="12.75">
      <c r="A26" s="24">
        <v>0.004</v>
      </c>
      <c r="B26" s="21">
        <f t="shared" si="0"/>
        <v>-2.3979400086720375</v>
      </c>
      <c r="C26" s="21">
        <f t="shared" si="1"/>
        <v>0.025132741228718346</v>
      </c>
      <c r="D26" s="21">
        <f t="shared" si="2"/>
        <v>0.02806963985643063</v>
      </c>
      <c r="E26">
        <f t="shared" si="3"/>
        <v>0.0125</v>
      </c>
      <c r="F26">
        <f t="shared" si="4"/>
        <v>0.025132741228718346</v>
      </c>
      <c r="G26" s="21">
        <f t="shared" si="5"/>
        <v>0.005107929051081865</v>
      </c>
      <c r="H26" s="21">
        <f t="shared" si="6"/>
        <v>0.005107928651663616</v>
      </c>
      <c r="I26" s="24">
        <f t="shared" si="7"/>
        <v>2.02E-06</v>
      </c>
      <c r="J26" s="24">
        <f t="shared" si="8"/>
        <v>5.495307310598892</v>
      </c>
      <c r="K26" s="24">
        <f t="shared" si="9"/>
        <v>0.13811213660956612</v>
      </c>
      <c r="L26" s="19">
        <f t="shared" si="10"/>
        <v>14.799839684291072</v>
      </c>
    </row>
    <row r="27" spans="1:12" ht="12.75">
      <c r="A27" s="24">
        <v>0.005</v>
      </c>
      <c r="B27" s="21">
        <f t="shared" si="0"/>
        <v>-2.3010299956639813</v>
      </c>
      <c r="C27" s="21">
        <f t="shared" si="1"/>
        <v>0.031415926535897934</v>
      </c>
      <c r="D27" s="21">
        <f t="shared" si="2"/>
        <v>0.033811395122191217</v>
      </c>
      <c r="E27">
        <f t="shared" si="3"/>
        <v>0.0125</v>
      </c>
      <c r="F27">
        <f t="shared" si="4"/>
        <v>0.031415926535897934</v>
      </c>
      <c r="G27" s="21">
        <f t="shared" si="5"/>
        <v>0.004752623322503126</v>
      </c>
      <c r="H27" s="21">
        <f t="shared" si="6"/>
        <v>0.004752622893224399</v>
      </c>
      <c r="I27" s="24">
        <f t="shared" si="7"/>
        <v>2.02E-06</v>
      </c>
      <c r="J27" s="24">
        <f t="shared" si="8"/>
        <v>7.114259394826883</v>
      </c>
      <c r="K27" s="24">
        <f t="shared" si="9"/>
        <v>0.22350105050520305</v>
      </c>
      <c r="L27" s="19">
        <f t="shared" si="10"/>
        <v>17.042593921207143</v>
      </c>
    </row>
    <row r="28" spans="1:12" ht="12.75">
      <c r="A28" s="24">
        <v>0.007</v>
      </c>
      <c r="B28" s="21">
        <f t="shared" si="0"/>
        <v>-2.154901959985743</v>
      </c>
      <c r="C28" s="21">
        <f t="shared" si="1"/>
        <v>0.0439822971502571</v>
      </c>
      <c r="D28" s="21">
        <f t="shared" si="2"/>
        <v>0.04572409061548971</v>
      </c>
      <c r="E28">
        <f t="shared" si="3"/>
        <v>0.0125</v>
      </c>
      <c r="F28">
        <f t="shared" si="4"/>
        <v>0.0439822971502571</v>
      </c>
      <c r="G28" s="21">
        <f t="shared" si="5"/>
        <v>0.003805141406889157</v>
      </c>
      <c r="H28" s="21">
        <f t="shared" si="6"/>
        <v>0.0038051408707198203</v>
      </c>
      <c r="I28" s="24">
        <f t="shared" si="7"/>
        <v>2.02E-06</v>
      </c>
      <c r="J28" s="24">
        <f t="shared" si="8"/>
        <v>12.016397217908082</v>
      </c>
      <c r="K28" s="24">
        <f t="shared" si="9"/>
        <v>0.528508753113556</v>
      </c>
      <c r="L28" s="19">
        <f t="shared" si="10"/>
        <v>21.59548552152126</v>
      </c>
    </row>
    <row r="29" spans="1:12" ht="12.75">
      <c r="A29" s="24">
        <v>0.01</v>
      </c>
      <c r="B29" s="21">
        <f t="shared" si="0"/>
        <v>-2</v>
      </c>
      <c r="C29" s="21">
        <f t="shared" si="1"/>
        <v>0.06283185307179587</v>
      </c>
      <c r="D29" s="21">
        <f t="shared" si="2"/>
        <v>0.0640631856875362</v>
      </c>
      <c r="E29">
        <f t="shared" si="3"/>
        <v>0.0125</v>
      </c>
      <c r="F29" s="21">
        <f t="shared" si="4"/>
        <v>0.06283185307179587</v>
      </c>
      <c r="G29" s="21">
        <f t="shared" si="5"/>
        <v>0.0017917427115659024</v>
      </c>
      <c r="H29" s="21">
        <f t="shared" si="6"/>
        <v>0.0017917415728975908</v>
      </c>
      <c r="I29" s="24">
        <f t="shared" si="7"/>
        <v>2.02E-06</v>
      </c>
      <c r="J29" s="24">
        <f t="shared" si="8"/>
        <v>35.75467910319996</v>
      </c>
      <c r="K29" s="24">
        <f t="shared" si="9"/>
        <v>2.24653274404147</v>
      </c>
      <c r="L29" s="19">
        <f t="shared" si="10"/>
        <v>31.066657692379103</v>
      </c>
    </row>
    <row r="30" spans="1:12" ht="12.75">
      <c r="A30" s="24">
        <v>0.011</v>
      </c>
      <c r="B30" s="21">
        <f t="shared" si="0"/>
        <v>-1.958607314841775</v>
      </c>
      <c r="C30" s="21">
        <f t="shared" si="1"/>
        <v>0.06911503837897544</v>
      </c>
      <c r="D30" s="21">
        <f t="shared" si="2"/>
        <v>0.07023630492934012</v>
      </c>
      <c r="E30">
        <f t="shared" si="3"/>
        <v>0.0125</v>
      </c>
      <c r="F30" s="21">
        <f t="shared" si="4"/>
        <v>0.06911503837897544</v>
      </c>
      <c r="G30" s="21">
        <f t="shared" si="5"/>
        <v>0.0009626969224631426</v>
      </c>
      <c r="H30" s="21">
        <f t="shared" si="6"/>
        <v>0.0009626948032060868</v>
      </c>
      <c r="I30" s="24">
        <f t="shared" si="7"/>
        <v>2.02E-06</v>
      </c>
      <c r="J30" s="24">
        <f t="shared" si="8"/>
        <v>72.95785754631324</v>
      </c>
      <c r="K30" s="24">
        <f t="shared" si="9"/>
        <v>5.042485124361262</v>
      </c>
      <c r="L30" s="19">
        <f t="shared" si="10"/>
        <v>37.26144144350273</v>
      </c>
    </row>
    <row r="31" spans="1:12" ht="12.75">
      <c r="A31" s="24">
        <v>0.0112</v>
      </c>
      <c r="B31" s="21">
        <f t="shared" si="0"/>
        <v>-1.9507819773298183</v>
      </c>
      <c r="C31" s="21">
        <f t="shared" si="1"/>
        <v>0.07037167544041137</v>
      </c>
      <c r="D31" s="21">
        <f t="shared" si="2"/>
        <v>0.07147323068317674</v>
      </c>
      <c r="E31">
        <f t="shared" si="3"/>
        <v>0.0125</v>
      </c>
      <c r="F31" s="21">
        <f t="shared" si="4"/>
        <v>0.07037167544041137</v>
      </c>
      <c r="G31" s="21">
        <f t="shared" si="5"/>
        <v>0.0007874132200626809</v>
      </c>
      <c r="H31" s="21">
        <f t="shared" si="6"/>
        <v>0.0007874106290427377</v>
      </c>
      <c r="I31" s="24">
        <f t="shared" si="7"/>
        <v>2.02E-06</v>
      </c>
      <c r="J31" s="24">
        <f t="shared" si="8"/>
        <v>90.7696605315913</v>
      </c>
      <c r="K31" s="24">
        <f t="shared" si="9"/>
        <v>6.387613090765461</v>
      </c>
      <c r="L31" s="19">
        <f t="shared" si="10"/>
        <v>39.15881422471015</v>
      </c>
    </row>
    <row r="32" spans="1:12" ht="12.75">
      <c r="A32" s="24">
        <v>0.0114</v>
      </c>
      <c r="B32" s="21">
        <f t="shared" si="0"/>
        <v>-1.9430951486635273</v>
      </c>
      <c r="C32" s="21">
        <f t="shared" si="1"/>
        <v>0.07162831250184729</v>
      </c>
      <c r="D32" s="21">
        <f t="shared" si="2"/>
        <v>0.07271083242449018</v>
      </c>
      <c r="E32">
        <f t="shared" si="3"/>
        <v>0.0125</v>
      </c>
      <c r="F32" s="21">
        <f t="shared" si="4"/>
        <v>0.07162831250184729</v>
      </c>
      <c r="G32" s="21">
        <f t="shared" si="5"/>
        <v>0.0006089715317189695</v>
      </c>
      <c r="H32" s="21">
        <f t="shared" si="6"/>
        <v>0.0006089681814710418</v>
      </c>
      <c r="I32" s="24">
        <f t="shared" si="7"/>
        <v>2.02E-06</v>
      </c>
      <c r="J32" s="24">
        <f t="shared" si="8"/>
        <v>119.39939494256204</v>
      </c>
      <c r="K32" s="24">
        <f t="shared" si="9"/>
        <v>8.552377173477318</v>
      </c>
      <c r="L32" s="19">
        <f t="shared" si="10"/>
        <v>41.540042520159744</v>
      </c>
    </row>
    <row r="33" spans="1:12" ht="12.75">
      <c r="A33" s="24">
        <v>0.0118</v>
      </c>
      <c r="B33" s="21">
        <f t="shared" si="0"/>
        <v>-1.9281179926938745</v>
      </c>
      <c r="C33" s="21">
        <f t="shared" si="1"/>
        <v>0.07414158662471912</v>
      </c>
      <c r="D33" s="21">
        <f t="shared" si="2"/>
        <v>0.07518793032947994</v>
      </c>
      <c r="E33">
        <f t="shared" si="3"/>
        <v>0.0125</v>
      </c>
      <c r="F33" s="21">
        <f t="shared" si="4"/>
        <v>0.07414158662471912</v>
      </c>
      <c r="G33" s="21">
        <f t="shared" si="5"/>
        <v>0.00024261687539134415</v>
      </c>
      <c r="H33" s="21">
        <f t="shared" si="6"/>
        <v>0.00024260846610260536</v>
      </c>
      <c r="I33" s="24">
        <f t="shared" si="7"/>
        <v>2.02E-06</v>
      </c>
      <c r="J33" s="24">
        <f t="shared" si="8"/>
        <v>309.90395951724645</v>
      </c>
      <c r="K33" s="24">
        <f t="shared" si="9"/>
        <v>22.976771259891375</v>
      </c>
      <c r="L33" s="19">
        <f t="shared" si="10"/>
        <v>49.824542501585</v>
      </c>
    </row>
    <row r="34" spans="1:12" ht="12.75">
      <c r="A34" s="24">
        <v>0.0119</v>
      </c>
      <c r="B34" s="21">
        <f t="shared" si="0"/>
        <v>-1.9244530386074692</v>
      </c>
      <c r="C34" s="21">
        <f t="shared" si="1"/>
        <v>0.07476990515543708</v>
      </c>
      <c r="D34" s="21">
        <f t="shared" si="2"/>
        <v>0.07580757690991749</v>
      </c>
      <c r="E34">
        <f t="shared" si="3"/>
        <v>0.0125</v>
      </c>
      <c r="F34" s="21">
        <f t="shared" si="4"/>
        <v>0.07476990515543708</v>
      </c>
      <c r="G34" s="21">
        <f t="shared" si="5"/>
        <v>0.00014905830427032365</v>
      </c>
      <c r="H34" s="21">
        <f t="shared" si="6"/>
        <v>0.0001490446163802785</v>
      </c>
      <c r="I34" s="24">
        <f t="shared" si="7"/>
        <v>2.02E-06</v>
      </c>
      <c r="J34" s="24">
        <f t="shared" si="8"/>
        <v>508.57667595920844</v>
      </c>
      <c r="K34" s="24">
        <f t="shared" si="9"/>
        <v>38.026229825737474</v>
      </c>
      <c r="L34" s="19">
        <f t="shared" si="10"/>
        <v>54.12712877882744</v>
      </c>
    </row>
    <row r="35" spans="1:12" ht="12.75">
      <c r="A35" s="24">
        <v>0.012</v>
      </c>
      <c r="B35" s="21">
        <f t="shared" si="0"/>
        <v>-1.9208187539523751</v>
      </c>
      <c r="C35" s="21">
        <f t="shared" si="1"/>
        <v>0.07539822368615504</v>
      </c>
      <c r="D35" s="21">
        <f t="shared" si="2"/>
        <v>0.0764273650927956</v>
      </c>
      <c r="E35">
        <f t="shared" si="3"/>
        <v>0.0125</v>
      </c>
      <c r="F35" s="21">
        <f t="shared" si="4"/>
        <v>0.07539822368615504</v>
      </c>
      <c r="G35" s="21">
        <f t="shared" si="5"/>
        <v>5.472848958386597E-05</v>
      </c>
      <c r="H35" s="21">
        <f t="shared" si="6"/>
        <v>5.469119830586386E-05</v>
      </c>
      <c r="I35" s="24">
        <f t="shared" si="7"/>
        <v>2.02E-06</v>
      </c>
      <c r="J35" s="24">
        <f t="shared" si="8"/>
        <v>1396.4822649760554</v>
      </c>
      <c r="K35" s="24">
        <f t="shared" si="9"/>
        <v>105.29228218841305</v>
      </c>
      <c r="L35" s="19">
        <f t="shared" si="10"/>
        <v>62.90070849251357</v>
      </c>
    </row>
    <row r="36" spans="1:12" ht="12.75">
      <c r="A36" s="24">
        <v>0.0121</v>
      </c>
      <c r="B36" s="21">
        <f t="shared" si="0"/>
        <v>-1.91721462968355</v>
      </c>
      <c r="C36" s="21">
        <f t="shared" si="1"/>
        <v>0.076026542216873</v>
      </c>
      <c r="D36" s="21">
        <f t="shared" si="2"/>
        <v>0.0770472914608552</v>
      </c>
      <c r="E36">
        <f t="shared" si="3"/>
        <v>0.0125</v>
      </c>
      <c r="F36" s="21">
        <f t="shared" si="4"/>
        <v>0.076026542216873</v>
      </c>
      <c r="G36" s="21">
        <f t="shared" si="5"/>
        <v>4.050219206607175E-05</v>
      </c>
      <c r="H36" s="21">
        <f t="shared" si="6"/>
        <v>-4.0451788120637704E-05</v>
      </c>
      <c r="I36" s="24">
        <f t="shared" si="7"/>
        <v>2.02E-06</v>
      </c>
      <c r="J36" s="24">
        <f t="shared" si="8"/>
        <v>1902.2992961755492</v>
      </c>
      <c r="K36" s="24">
        <f t="shared" si="9"/>
        <v>144.62523774981818</v>
      </c>
      <c r="L36" s="19">
        <f t="shared" si="10"/>
        <v>65.58557694447394</v>
      </c>
    </row>
    <row r="37" spans="1:12" ht="12.75">
      <c r="A37" s="24">
        <v>0.0122</v>
      </c>
      <c r="B37" s="21">
        <f t="shared" si="0"/>
        <v>-1.9136401693252518</v>
      </c>
      <c r="C37" s="21">
        <f t="shared" si="1"/>
        <v>0.07665486074759095</v>
      </c>
      <c r="D37" s="21">
        <f t="shared" si="2"/>
        <v>0.07766735270519114</v>
      </c>
      <c r="E37">
        <f t="shared" si="3"/>
        <v>0.0125</v>
      </c>
      <c r="F37" s="21">
        <f t="shared" si="4"/>
        <v>0.07665486074759095</v>
      </c>
      <c r="G37" s="21">
        <f t="shared" si="5"/>
        <v>0.00013639930127406705</v>
      </c>
      <c r="H37" s="21">
        <f t="shared" si="6"/>
        <v>-0.00013638434289922619</v>
      </c>
      <c r="I37" s="24">
        <f t="shared" si="7"/>
        <v>2.02E-06</v>
      </c>
      <c r="J37" s="24">
        <f t="shared" si="8"/>
        <v>569.4116610548772</v>
      </c>
      <c r="K37" s="24">
        <f t="shared" si="9"/>
        <v>43.64817158621607</v>
      </c>
      <c r="L37" s="19">
        <f t="shared" si="10"/>
        <v>55.10852713749479</v>
      </c>
    </row>
    <row r="38" spans="1:12" ht="12.75">
      <c r="A38" s="24">
        <v>0.0126</v>
      </c>
      <c r="B38" s="21">
        <f t="shared" si="0"/>
        <v>-1.899629454882437</v>
      </c>
      <c r="C38" s="21">
        <f t="shared" si="1"/>
        <v>0.07916813487046279</v>
      </c>
      <c r="D38" s="21">
        <f t="shared" si="2"/>
        <v>0.08014888382795973</v>
      </c>
      <c r="E38">
        <f t="shared" si="3"/>
        <v>0.0125</v>
      </c>
      <c r="F38" s="21">
        <f t="shared" si="4"/>
        <v>0.07916813487046279</v>
      </c>
      <c r="G38" s="21">
        <f t="shared" si="5"/>
        <v>0.0005280141094604872</v>
      </c>
      <c r="H38" s="21">
        <f t="shared" si="6"/>
        <v>-0.000528010245534451</v>
      </c>
      <c r="I38" s="24">
        <f t="shared" si="7"/>
        <v>2.02E-06</v>
      </c>
      <c r="J38" s="24">
        <f t="shared" si="8"/>
        <v>151.79307217728336</v>
      </c>
      <c r="K38" s="24">
        <f t="shared" si="9"/>
        <v>12.017174410533062</v>
      </c>
      <c r="L38" s="19">
        <f t="shared" si="10"/>
        <v>43.6250390169817</v>
      </c>
    </row>
    <row r="39" spans="1:12" ht="12.75">
      <c r="A39" s="24">
        <v>0.0128</v>
      </c>
      <c r="B39" s="21">
        <f t="shared" si="0"/>
        <v>-1.8927900303521317</v>
      </c>
      <c r="C39" s="21">
        <f t="shared" si="1"/>
        <v>0.0804247719318987</v>
      </c>
      <c r="D39" s="21">
        <f t="shared" si="2"/>
        <v>0.08139037990019411</v>
      </c>
      <c r="E39">
        <f t="shared" si="3"/>
        <v>0.0125</v>
      </c>
      <c r="F39" s="21">
        <f t="shared" si="4"/>
        <v>0.0804247719318987</v>
      </c>
      <c r="G39" s="21">
        <f t="shared" si="5"/>
        <v>0.0007285634072753084</v>
      </c>
      <c r="H39" s="21">
        <f t="shared" si="6"/>
        <v>-0.0007285606069645867</v>
      </c>
      <c r="I39" s="24">
        <f t="shared" si="7"/>
        <v>2.02E-06</v>
      </c>
      <c r="J39" s="24">
        <f t="shared" si="8"/>
        <v>111.71351606111949</v>
      </c>
      <c r="K39" s="24">
        <f t="shared" si="9"/>
        <v>8.984534050926039</v>
      </c>
      <c r="L39" s="19">
        <f t="shared" si="10"/>
        <v>40.96211441945603</v>
      </c>
    </row>
    <row r="40" spans="1:12" ht="12.75">
      <c r="A40" s="24">
        <v>0.013</v>
      </c>
      <c r="B40" s="21">
        <f t="shared" si="0"/>
        <v>-1.8860566476931633</v>
      </c>
      <c r="C40" s="21">
        <f t="shared" si="1"/>
        <v>0.08168140899333462</v>
      </c>
      <c r="D40" s="21">
        <f t="shared" si="2"/>
        <v>0.0826323337146931</v>
      </c>
      <c r="E40">
        <f t="shared" si="3"/>
        <v>0.0125</v>
      </c>
      <c r="F40" s="21">
        <f t="shared" si="4"/>
        <v>0.08168140899333462</v>
      </c>
      <c r="G40" s="21">
        <f t="shared" si="5"/>
        <v>0.0009322714302240913</v>
      </c>
      <c r="H40" s="21">
        <f t="shared" si="6"/>
        <v>-0.000932269241803071</v>
      </c>
      <c r="I40" s="24">
        <f t="shared" si="7"/>
        <v>2.02E-06</v>
      </c>
      <c r="J40" s="24">
        <f t="shared" si="8"/>
        <v>88.63548858815791</v>
      </c>
      <c r="K40" s="24">
        <f t="shared" si="9"/>
        <v>7.23987159469337</v>
      </c>
      <c r="L40" s="19">
        <f t="shared" si="10"/>
        <v>38.952152860338266</v>
      </c>
    </row>
    <row r="41" spans="1:12" ht="12.75">
      <c r="A41" s="24">
        <v>0.014</v>
      </c>
      <c r="B41" s="21">
        <f t="shared" si="0"/>
        <v>-1.853871964321762</v>
      </c>
      <c r="C41" s="21">
        <f t="shared" si="1"/>
        <v>0.0879645943005142</v>
      </c>
      <c r="D41" s="21">
        <f t="shared" si="2"/>
        <v>0.08884829683485247</v>
      </c>
      <c r="E41">
        <f t="shared" si="3"/>
        <v>0.0125</v>
      </c>
      <c r="F41" s="21">
        <f t="shared" si="4"/>
        <v>0.0879645943005142</v>
      </c>
      <c r="G41" s="21">
        <f t="shared" si="5"/>
        <v>0.0019981875381462674</v>
      </c>
      <c r="H41" s="21">
        <f t="shared" si="6"/>
        <v>-0.001998186517120722</v>
      </c>
      <c r="I41" s="24">
        <f t="shared" si="7"/>
        <v>2.02E-06</v>
      </c>
      <c r="J41" s="24">
        <f t="shared" si="8"/>
        <v>44.46444347124578</v>
      </c>
      <c r="K41" s="24">
        <f t="shared" si="9"/>
        <v>3.9112967307462827</v>
      </c>
      <c r="L41" s="19">
        <f t="shared" si="10"/>
        <v>32.96025721881818</v>
      </c>
    </row>
    <row r="42" spans="1:12" ht="12.75">
      <c r="A42" s="24">
        <v>0.015</v>
      </c>
      <c r="B42" s="21">
        <f t="shared" si="0"/>
        <v>-1.8239087409443189</v>
      </c>
      <c r="C42" s="21">
        <f t="shared" si="1"/>
        <v>0.09424777960769379</v>
      </c>
      <c r="D42" s="21">
        <f t="shared" si="2"/>
        <v>0.0950730979877085</v>
      </c>
      <c r="E42">
        <f t="shared" si="3"/>
        <v>0.0125</v>
      </c>
      <c r="F42" s="21">
        <f t="shared" si="4"/>
        <v>0.09424777960769379</v>
      </c>
      <c r="G42" s="21">
        <f t="shared" si="5"/>
        <v>0.0031430612767595384</v>
      </c>
      <c r="H42" s="21">
        <f t="shared" si="6"/>
        <v>-0.0031430606276470867</v>
      </c>
      <c r="I42" s="24">
        <f t="shared" si="7"/>
        <v>2.02E-06</v>
      </c>
      <c r="J42" s="24">
        <f t="shared" si="8"/>
        <v>30.248566482206105</v>
      </c>
      <c r="K42" s="24">
        <f t="shared" si="9"/>
        <v>2.8508602272636345</v>
      </c>
      <c r="L42" s="19">
        <f t="shared" si="10"/>
        <v>29.61409595423618</v>
      </c>
    </row>
    <row r="43" spans="1:12" ht="12.75">
      <c r="A43" s="24">
        <v>0.02</v>
      </c>
      <c r="B43" s="21">
        <f t="shared" si="0"/>
        <v>-1.6989700043360187</v>
      </c>
      <c r="C43" s="21">
        <f t="shared" si="1"/>
        <v>0.12566370614359174</v>
      </c>
      <c r="D43" s="21">
        <f t="shared" si="2"/>
        <v>0.12628387482866912</v>
      </c>
      <c r="E43">
        <f t="shared" si="3"/>
        <v>0.0125</v>
      </c>
      <c r="F43" s="21">
        <f t="shared" si="4"/>
        <v>0.12566370614359174</v>
      </c>
      <c r="G43" s="21">
        <f t="shared" si="5"/>
        <v>0.010051783911378589</v>
      </c>
      <c r="H43" s="21">
        <f t="shared" si="6"/>
        <v>-0.01005178370840964</v>
      </c>
      <c r="I43" s="24">
        <f t="shared" si="7"/>
        <v>2.02E-06</v>
      </c>
      <c r="J43" s="24">
        <f t="shared" si="8"/>
        <v>12.563329647955937</v>
      </c>
      <c r="K43" s="24">
        <f t="shared" si="9"/>
        <v>1.5787545650658088</v>
      </c>
      <c r="L43" s="19">
        <f t="shared" si="10"/>
        <v>21.9820951066456</v>
      </c>
    </row>
    <row r="44" spans="1:12" ht="12.75">
      <c r="A44" s="24">
        <v>0.03</v>
      </c>
      <c r="B44" s="21">
        <f t="shared" si="0"/>
        <v>-1.5228787452803376</v>
      </c>
      <c r="C44" s="21">
        <f t="shared" si="1"/>
        <v>0.18849555921538758</v>
      </c>
      <c r="D44" s="21">
        <f t="shared" si="2"/>
        <v>0.1889095705461258</v>
      </c>
      <c r="E44">
        <f t="shared" si="3"/>
        <v>0.0125</v>
      </c>
      <c r="F44" s="21">
        <f t="shared" si="4"/>
        <v>0.18849555921538758</v>
      </c>
      <c r="G44" s="21">
        <f t="shared" si="5"/>
        <v>0.02979099257907214</v>
      </c>
      <c r="H44" s="21">
        <f t="shared" si="6"/>
        <v>-0.02979099251058835</v>
      </c>
      <c r="I44" s="24">
        <f t="shared" si="7"/>
        <v>2.02E-06</v>
      </c>
      <c r="J44" s="24">
        <f t="shared" si="8"/>
        <v>6.341164029520547</v>
      </c>
      <c r="K44" s="24">
        <f t="shared" si="9"/>
        <v>1.1952812598209759</v>
      </c>
      <c r="L44" s="19">
        <f t="shared" si="10"/>
        <v>16.043379748155804</v>
      </c>
    </row>
    <row r="45" spans="1:12" ht="12.75">
      <c r="A45" s="24">
        <v>0.04</v>
      </c>
      <c r="B45" s="21">
        <f t="shared" si="0"/>
        <v>-1.3979400086720375</v>
      </c>
      <c r="C45" s="21">
        <f t="shared" si="1"/>
        <v>0.25132741228718347</v>
      </c>
      <c r="D45" s="21">
        <f t="shared" si="2"/>
        <v>0.25163806978867864</v>
      </c>
      <c r="E45">
        <f t="shared" si="3"/>
        <v>0.0125</v>
      </c>
      <c r="F45" s="21">
        <f t="shared" si="4"/>
        <v>0.25132741228718347</v>
      </c>
      <c r="G45" s="21">
        <f t="shared" si="5"/>
        <v>0.0574258848691661</v>
      </c>
      <c r="H45" s="21">
        <f t="shared" si="6"/>
        <v>-0.057425884833638564</v>
      </c>
      <c r="I45" s="24">
        <f t="shared" si="7"/>
        <v>2.02E-06</v>
      </c>
      <c r="J45" s="24">
        <f t="shared" si="8"/>
        <v>4.381962426212289</v>
      </c>
      <c r="K45" s="24">
        <f t="shared" si="9"/>
        <v>1.1013072773196029</v>
      </c>
      <c r="L45" s="19">
        <f t="shared" si="10"/>
        <v>12.833372986362157</v>
      </c>
    </row>
    <row r="46" spans="1:12" ht="12.75">
      <c r="A46" s="24">
        <v>0.05</v>
      </c>
      <c r="B46" s="21">
        <f t="shared" si="0"/>
        <v>-1.3010299956639813</v>
      </c>
      <c r="C46" s="21">
        <f t="shared" si="1"/>
        <v>0.3141592653589793</v>
      </c>
      <c r="D46" s="21">
        <f t="shared" si="2"/>
        <v>0.31440784661152077</v>
      </c>
      <c r="E46">
        <f t="shared" si="3"/>
        <v>0.0125</v>
      </c>
      <c r="F46" s="21">
        <f t="shared" si="4"/>
        <v>0.3141592653589793</v>
      </c>
      <c r="G46" s="21">
        <f t="shared" si="5"/>
        <v>0.09295646069950814</v>
      </c>
      <c r="H46" s="21">
        <f t="shared" si="6"/>
        <v>-0.09295646067756023</v>
      </c>
      <c r="I46" s="24">
        <f t="shared" si="7"/>
        <v>2.02E-06</v>
      </c>
      <c r="J46" s="24">
        <f t="shared" si="8"/>
        <v>3.382313012409953</v>
      </c>
      <c r="K46" s="24">
        <f t="shared" si="9"/>
        <v>1.062584971192827</v>
      </c>
      <c r="L46" s="19">
        <f t="shared" si="10"/>
        <v>10.58427592846348</v>
      </c>
    </row>
    <row r="47" spans="1:12" ht="12.75">
      <c r="A47" s="24">
        <v>0.07</v>
      </c>
      <c r="B47" s="21">
        <f t="shared" si="0"/>
        <v>-1.154901959985743</v>
      </c>
      <c r="C47" s="21">
        <f t="shared" si="1"/>
        <v>0.4398229715025711</v>
      </c>
      <c r="D47" s="21">
        <f t="shared" si="2"/>
        <v>0.4400005639329926</v>
      </c>
      <c r="E47">
        <f t="shared" si="3"/>
        <v>0.0125</v>
      </c>
      <c r="F47" s="21">
        <f t="shared" si="4"/>
        <v>0.4398229715025711</v>
      </c>
      <c r="G47" s="21">
        <f t="shared" si="5"/>
        <v>0.18770466293888738</v>
      </c>
      <c r="H47" s="21">
        <f t="shared" si="6"/>
        <v>-0.18770466292801816</v>
      </c>
      <c r="I47" s="24">
        <f t="shared" si="7"/>
        <v>2.02E-06</v>
      </c>
      <c r="J47" s="24">
        <f t="shared" si="8"/>
        <v>2.344110993535879</v>
      </c>
      <c r="K47" s="24">
        <f t="shared" si="9"/>
        <v>1.0309938627087945</v>
      </c>
      <c r="L47" s="19">
        <f t="shared" si="10"/>
        <v>7.399563433089282</v>
      </c>
    </row>
    <row r="48" spans="1:12" ht="12.75">
      <c r="A48" s="24">
        <v>0.1</v>
      </c>
      <c r="B48" s="21">
        <f t="shared" si="0"/>
        <v>-1</v>
      </c>
      <c r="C48" s="21">
        <f t="shared" si="1"/>
        <v>0.6283185307179586</v>
      </c>
      <c r="D48" s="21">
        <f t="shared" si="2"/>
        <v>0.6284428582166992</v>
      </c>
      <c r="E48">
        <f t="shared" si="3"/>
        <v>0.0125</v>
      </c>
      <c r="F48" s="21">
        <f t="shared" si="4"/>
        <v>0.6283185307179586</v>
      </c>
      <c r="G48" s="21">
        <f t="shared" si="5"/>
        <v>0.3890445927154851</v>
      </c>
      <c r="H48" s="21">
        <f t="shared" si="6"/>
        <v>-0.38904459271024094</v>
      </c>
      <c r="I48" s="24">
        <f t="shared" si="7"/>
        <v>2.02E-06</v>
      </c>
      <c r="J48" s="24">
        <f t="shared" si="8"/>
        <v>1.6153491655808467</v>
      </c>
      <c r="K48" s="24">
        <f t="shared" si="9"/>
        <v>1.014953814314238</v>
      </c>
      <c r="L48" s="19">
        <f t="shared" si="10"/>
        <v>4.165328233589064</v>
      </c>
    </row>
    <row r="49" spans="1:12" ht="12.75">
      <c r="A49" s="24">
        <v>0.15</v>
      </c>
      <c r="B49" s="21">
        <f t="shared" si="0"/>
        <v>-0.8239087409443188</v>
      </c>
      <c r="C49" s="21">
        <f t="shared" si="1"/>
        <v>0.9424777960769379</v>
      </c>
      <c r="D49" s="21">
        <f t="shared" si="2"/>
        <v>0.9425606856314569</v>
      </c>
      <c r="E49">
        <f t="shared" si="3"/>
        <v>0.0125</v>
      </c>
      <c r="F49" s="21">
        <f t="shared" si="4"/>
        <v>0.9424777960769379</v>
      </c>
      <c r="G49" s="21">
        <f t="shared" si="5"/>
        <v>0.8825248127670206</v>
      </c>
      <c r="H49" s="21">
        <f t="shared" si="6"/>
        <v>-0.8825248127647088</v>
      </c>
      <c r="I49" s="24">
        <f t="shared" si="7"/>
        <v>2.02E-06</v>
      </c>
      <c r="J49" s="24">
        <f t="shared" si="8"/>
        <v>1.0680274050042888</v>
      </c>
      <c r="K49" s="24">
        <f t="shared" si="9"/>
        <v>1.0065921148182133</v>
      </c>
      <c r="L49" s="19">
        <f t="shared" si="10"/>
        <v>0.5716479319301616</v>
      </c>
    </row>
    <row r="50" spans="1:12" ht="12.75">
      <c r="A50" s="24">
        <v>0.2</v>
      </c>
      <c r="B50" s="21">
        <f t="shared" si="0"/>
        <v>-0.6989700043360187</v>
      </c>
      <c r="C50" s="21">
        <f t="shared" si="1"/>
        <v>1.2566370614359172</v>
      </c>
      <c r="D50" s="21">
        <f t="shared" si="2"/>
        <v>1.2566992297977655</v>
      </c>
      <c r="E50">
        <f t="shared" si="3"/>
        <v>0.0125</v>
      </c>
      <c r="F50" s="21">
        <f t="shared" si="4"/>
        <v>1.2566370614359172</v>
      </c>
      <c r="G50" s="21">
        <f t="shared" si="5"/>
        <v>1.5733971208422606</v>
      </c>
      <c r="H50" s="21">
        <f t="shared" si="6"/>
        <v>-1.5733971208409638</v>
      </c>
      <c r="I50" s="24">
        <f t="shared" si="7"/>
        <v>2.02E-06</v>
      </c>
      <c r="J50" s="24">
        <f t="shared" si="8"/>
        <v>0.7987171281494639</v>
      </c>
      <c r="K50" s="24">
        <f t="shared" si="9"/>
        <v>1.0036975448362773</v>
      </c>
      <c r="L50" s="19">
        <f t="shared" si="10"/>
        <v>-1.95214004414042</v>
      </c>
    </row>
    <row r="51" spans="1:12" ht="12.75">
      <c r="A51" s="24">
        <v>0.3</v>
      </c>
      <c r="B51" s="21">
        <f t="shared" si="0"/>
        <v>-0.5228787452803376</v>
      </c>
      <c r="C51" s="21">
        <f t="shared" si="1"/>
        <v>1.8849555921538759</v>
      </c>
      <c r="D51" s="21">
        <f t="shared" si="2"/>
        <v>1.8849970382979833</v>
      </c>
      <c r="E51">
        <f t="shared" si="3"/>
        <v>0.0125</v>
      </c>
      <c r="F51" s="21">
        <f t="shared" si="4"/>
        <v>1.8849555921538759</v>
      </c>
      <c r="G51" s="21">
        <f t="shared" si="5"/>
        <v>3.5473180010594105</v>
      </c>
      <c r="H51" s="21">
        <f t="shared" si="6"/>
        <v>-3.5473180010588354</v>
      </c>
      <c r="I51" s="24">
        <f t="shared" si="7"/>
        <v>2.02E-06</v>
      </c>
      <c r="J51" s="24">
        <f t="shared" si="8"/>
        <v>0.5313865398408112</v>
      </c>
      <c r="K51" s="24">
        <f t="shared" si="9"/>
        <v>1.0016400298682353</v>
      </c>
      <c r="L51" s="19">
        <f t="shared" si="10"/>
        <v>-5.491789011570784</v>
      </c>
    </row>
    <row r="52" spans="1:12" ht="12.75">
      <c r="A52" s="24">
        <v>0.4</v>
      </c>
      <c r="B52" s="21">
        <f t="shared" si="0"/>
        <v>-0.3979400086720376</v>
      </c>
      <c r="C52" s="21">
        <f t="shared" si="1"/>
        <v>2.5132741228718345</v>
      </c>
      <c r="D52" s="21">
        <f t="shared" si="2"/>
        <v>2.513305207629425</v>
      </c>
      <c r="E52">
        <f t="shared" si="3"/>
        <v>0.0125</v>
      </c>
      <c r="F52" s="21">
        <f t="shared" si="4"/>
        <v>2.5132741228718345</v>
      </c>
      <c r="G52" s="21">
        <f t="shared" si="5"/>
        <v>6.310807233364179</v>
      </c>
      <c r="H52" s="21">
        <f t="shared" si="6"/>
        <v>-6.310807233363856</v>
      </c>
      <c r="I52" s="24">
        <f t="shared" si="7"/>
        <v>2.02E-06</v>
      </c>
      <c r="J52" s="24">
        <f t="shared" si="8"/>
        <v>0.3982541558775559</v>
      </c>
      <c r="K52" s="24">
        <f t="shared" si="9"/>
        <v>1.0009218642932272</v>
      </c>
      <c r="L52" s="19">
        <f t="shared" si="10"/>
        <v>-7.996793670723797</v>
      </c>
    </row>
    <row r="53" spans="1:12" ht="12.75">
      <c r="A53" s="24">
        <v>0.5</v>
      </c>
      <c r="B53" s="21">
        <f t="shared" si="0"/>
        <v>-0.3010299956639812</v>
      </c>
      <c r="C53" s="21">
        <f t="shared" si="1"/>
        <v>3.141592653589793</v>
      </c>
      <c r="D53" s="21">
        <f t="shared" si="2"/>
        <v>3.141617521451228</v>
      </c>
      <c r="E53">
        <f t="shared" si="3"/>
        <v>0.0125</v>
      </c>
      <c r="F53" s="21">
        <f t="shared" si="4"/>
        <v>3.141592653589793</v>
      </c>
      <c r="G53" s="21">
        <f t="shared" si="5"/>
        <v>9.863864817756232</v>
      </c>
      <c r="H53" s="21">
        <f t="shared" si="6"/>
        <v>-9.863864817756024</v>
      </c>
      <c r="I53" s="24">
        <f t="shared" si="7"/>
        <v>2.02E-06</v>
      </c>
      <c r="J53" s="24">
        <f t="shared" si="8"/>
        <v>0.3184976253725528</v>
      </c>
      <c r="K53" s="24">
        <f t="shared" si="9"/>
        <v>1.000589800056206</v>
      </c>
      <c r="L53" s="19">
        <f t="shared" si="10"/>
        <v>-9.9378760258468</v>
      </c>
    </row>
    <row r="54" spans="1:12" ht="12.75">
      <c r="A54" s="24">
        <v>0.7</v>
      </c>
      <c r="B54" s="21">
        <f t="shared" si="0"/>
        <v>-0.1549019599857432</v>
      </c>
      <c r="C54" s="21">
        <f t="shared" si="1"/>
        <v>4.39822971502571</v>
      </c>
      <c r="D54" s="21">
        <f t="shared" si="2"/>
        <v>4.398247477818312</v>
      </c>
      <c r="E54">
        <f t="shared" si="3"/>
        <v>0.0125</v>
      </c>
      <c r="F54" s="21">
        <f t="shared" si="4"/>
        <v>4.39822971502571</v>
      </c>
      <c r="G54" s="21">
        <f t="shared" si="5"/>
        <v>19.338685042801913</v>
      </c>
      <c r="H54" s="21">
        <f t="shared" si="6"/>
        <v>-19.338685042801806</v>
      </c>
      <c r="I54" s="24">
        <f t="shared" si="7"/>
        <v>2.02E-06</v>
      </c>
      <c r="J54" s="24">
        <f t="shared" si="8"/>
        <v>0.22743260299672707</v>
      </c>
      <c r="K54" s="24">
        <f t="shared" si="9"/>
        <v>1.0003008326658505</v>
      </c>
      <c r="L54" s="19">
        <f t="shared" si="10"/>
        <v>-12.862945561071307</v>
      </c>
    </row>
    <row r="55" spans="1:12" ht="12.75">
      <c r="A55" s="24">
        <v>1</v>
      </c>
      <c r="B55" s="21">
        <f t="shared" si="0"/>
        <v>0</v>
      </c>
      <c r="C55" s="21">
        <f t="shared" si="1"/>
        <v>6.283185307179586</v>
      </c>
      <c r="D55" s="21">
        <f t="shared" si="2"/>
        <v>6.283197741147212</v>
      </c>
      <c r="E55">
        <f t="shared" si="3"/>
        <v>0.0125</v>
      </c>
      <c r="F55" s="21">
        <f t="shared" si="4"/>
        <v>6.283185307179586</v>
      </c>
      <c r="G55" s="21">
        <f t="shared" si="5"/>
        <v>39.47267802102415</v>
      </c>
      <c r="H55" s="21">
        <f t="shared" si="6"/>
        <v>-39.4726780210241</v>
      </c>
      <c r="I55" s="24">
        <f t="shared" si="7"/>
        <v>2.02E-06</v>
      </c>
      <c r="J55" s="24">
        <f t="shared" si="8"/>
        <v>0.1591784002544905</v>
      </c>
      <c r="K55" s="24">
        <f t="shared" si="9"/>
        <v>1.0001473856993661</v>
      </c>
      <c r="L55" s="19">
        <f t="shared" si="10"/>
        <v>-15.96231728557392</v>
      </c>
    </row>
    <row r="56" spans="1:12" ht="12.75">
      <c r="A56" s="24">
        <v>1.5</v>
      </c>
      <c r="B56" s="21">
        <f t="shared" si="0"/>
        <v>0.17609125905568124</v>
      </c>
      <c r="C56" s="21">
        <f t="shared" si="1"/>
        <v>9.42477796076938</v>
      </c>
      <c r="D56" s="21">
        <f t="shared" si="2"/>
        <v>9.424786250085686</v>
      </c>
      <c r="E56">
        <f t="shared" si="3"/>
        <v>0.0125</v>
      </c>
      <c r="F56" s="21">
        <f t="shared" si="4"/>
        <v>9.42477796076938</v>
      </c>
      <c r="G56" s="21">
        <f t="shared" si="5"/>
        <v>88.8207000264709</v>
      </c>
      <c r="H56" s="21">
        <f t="shared" si="6"/>
        <v>-88.82070002647089</v>
      </c>
      <c r="I56" s="24">
        <f t="shared" si="7"/>
        <v>2.02E-06</v>
      </c>
      <c r="J56" s="24">
        <f t="shared" si="8"/>
        <v>0.10611024510363973</v>
      </c>
      <c r="K56" s="24">
        <f t="shared" si="9"/>
        <v>1.0000654994646208</v>
      </c>
      <c r="L56" s="19">
        <f t="shared" si="10"/>
        <v>-19.48485364578608</v>
      </c>
    </row>
    <row r="57" spans="1:12" ht="12.75">
      <c r="A57" s="24">
        <v>2</v>
      </c>
      <c r="B57" s="21">
        <f t="shared" si="0"/>
        <v>0.3010299956639812</v>
      </c>
      <c r="C57" s="21">
        <f t="shared" si="1"/>
        <v>12.566370614359172</v>
      </c>
      <c r="D57" s="21">
        <f t="shared" si="2"/>
        <v>12.566376831347599</v>
      </c>
      <c r="E57">
        <f t="shared" si="3"/>
        <v>0.0125</v>
      </c>
      <c r="F57" s="21">
        <f t="shared" si="4"/>
        <v>12.566370614359172</v>
      </c>
      <c r="G57" s="21">
        <f t="shared" si="5"/>
        <v>157.9079308340964</v>
      </c>
      <c r="H57" s="21">
        <f t="shared" si="6"/>
        <v>-157.9079308340964</v>
      </c>
      <c r="I57" s="24">
        <f t="shared" si="7"/>
        <v>2.02E-06</v>
      </c>
      <c r="J57" s="24">
        <f t="shared" si="8"/>
        <v>0.07958040337157148</v>
      </c>
      <c r="K57" s="24">
        <f t="shared" si="9"/>
        <v>1.0000368424073653</v>
      </c>
      <c r="L57" s="19">
        <f t="shared" si="10"/>
        <v>-21.983877277252354</v>
      </c>
    </row>
    <row r="58" spans="1:12" ht="12.75">
      <c r="A58" s="24">
        <v>3</v>
      </c>
      <c r="B58" s="21">
        <f t="shared" si="0"/>
        <v>0.47712125471966244</v>
      </c>
      <c r="C58" s="21">
        <f t="shared" si="1"/>
        <v>18.84955592153876</v>
      </c>
      <c r="D58" s="21">
        <f t="shared" si="2"/>
        <v>18.84956006619828</v>
      </c>
      <c r="E58">
        <f t="shared" si="3"/>
        <v>0.0125</v>
      </c>
      <c r="F58" s="21">
        <f t="shared" si="4"/>
        <v>18.84955592153876</v>
      </c>
      <c r="G58" s="21">
        <f t="shared" si="5"/>
        <v>355.3000188558836</v>
      </c>
      <c r="H58" s="21">
        <f t="shared" si="6"/>
        <v>-355.3000188558836</v>
      </c>
      <c r="I58" s="24">
        <f t="shared" si="7"/>
        <v>2.02E-06</v>
      </c>
      <c r="J58" s="24">
        <f t="shared" si="8"/>
        <v>0.053052516368832556</v>
      </c>
      <c r="K58" s="24">
        <f t="shared" si="9"/>
        <v>1.0000163740726595</v>
      </c>
      <c r="L58" s="19">
        <f t="shared" si="10"/>
        <v>-25.505880239331876</v>
      </c>
    </row>
    <row r="59" spans="1:12" ht="12.75">
      <c r="A59" s="24">
        <v>4</v>
      </c>
      <c r="B59" s="21">
        <f t="shared" si="0"/>
        <v>0.6020599913279624</v>
      </c>
      <c r="C59" s="21">
        <f t="shared" si="1"/>
        <v>25.132741228718345</v>
      </c>
      <c r="D59" s="21">
        <f t="shared" si="2"/>
        <v>25.132744337213136</v>
      </c>
      <c r="E59">
        <f t="shared" si="3"/>
        <v>0.0125</v>
      </c>
      <c r="F59" s="21">
        <f t="shared" si="4"/>
        <v>25.132741228718345</v>
      </c>
      <c r="G59" s="21">
        <f t="shared" si="5"/>
        <v>631.6489420863855</v>
      </c>
      <c r="H59" s="21">
        <f t="shared" si="6"/>
        <v>-631.6489420863855</v>
      </c>
      <c r="I59" s="24">
        <f t="shared" si="7"/>
        <v>2.02E-06</v>
      </c>
      <c r="J59" s="24">
        <f t="shared" si="8"/>
        <v>0.03978910224118753</v>
      </c>
      <c r="K59" s="24">
        <f t="shared" si="9"/>
        <v>1.0000092103507834</v>
      </c>
      <c r="L59" s="19">
        <f t="shared" si="10"/>
        <v>-28.00471719399953</v>
      </c>
    </row>
    <row r="60" spans="1:12" ht="12.75">
      <c r="A60" s="24">
        <v>5</v>
      </c>
      <c r="B60" s="21">
        <f t="shared" si="0"/>
        <v>0.6989700043360189</v>
      </c>
      <c r="C60" s="21">
        <f t="shared" si="1"/>
        <v>31.41592653589793</v>
      </c>
      <c r="D60" s="21">
        <f t="shared" si="2"/>
        <v>31.41592902269382</v>
      </c>
      <c r="E60">
        <f t="shared" si="3"/>
        <v>0.0125</v>
      </c>
      <c r="F60" s="21">
        <f t="shared" si="4"/>
        <v>31.41592653589793</v>
      </c>
      <c r="G60" s="21">
        <f t="shared" si="5"/>
        <v>986.9547005256024</v>
      </c>
      <c r="H60" s="21">
        <f t="shared" si="6"/>
        <v>-986.9547005256024</v>
      </c>
      <c r="I60" s="24">
        <f t="shared" si="7"/>
        <v>2.02E-06</v>
      </c>
      <c r="J60" s="24">
        <f t="shared" si="8"/>
        <v>0.03183117624949076</v>
      </c>
      <c r="K60" s="24">
        <f t="shared" si="9"/>
        <v>1.0000058946052206</v>
      </c>
      <c r="L60" s="19">
        <f t="shared" si="10"/>
        <v>-29.942946254143173</v>
      </c>
    </row>
    <row r="61" spans="1:12" ht="12.75">
      <c r="A61" s="24">
        <v>7</v>
      </c>
      <c r="B61" s="21">
        <f t="shared" si="0"/>
        <v>0.8450980400142568</v>
      </c>
      <c r="C61" s="21">
        <f t="shared" si="1"/>
        <v>43.982297150257104</v>
      </c>
      <c r="D61" s="21">
        <f t="shared" si="2"/>
        <v>43.98229892653991</v>
      </c>
      <c r="E61">
        <f t="shared" si="3"/>
        <v>0.0125</v>
      </c>
      <c r="F61" s="21">
        <f t="shared" si="4"/>
        <v>43.982297150257104</v>
      </c>
      <c r="G61" s="21">
        <f t="shared" si="5"/>
        <v>1934.436723030181</v>
      </c>
      <c r="H61" s="21">
        <f t="shared" si="6"/>
        <v>-1934.436723030181</v>
      </c>
      <c r="I61" s="24">
        <f t="shared" si="7"/>
        <v>2.02E-06</v>
      </c>
      <c r="J61" s="24">
        <f t="shared" si="8"/>
        <v>0.0227364888201896</v>
      </c>
      <c r="K61" s="24">
        <f t="shared" si="9"/>
        <v>1.0000030074430775</v>
      </c>
      <c r="L61" s="19">
        <f t="shared" si="10"/>
        <v>-32.86553204516805</v>
      </c>
    </row>
  </sheetData>
  <sheetProtection sheet="1" objects="1" scenarios="1"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9"/>
  </sheetPr>
  <dimension ref="A1:C44"/>
  <sheetViews>
    <sheetView workbookViewId="0" topLeftCell="A1">
      <selection activeCell="C7" sqref="C7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98.28125" style="0" customWidth="1"/>
  </cols>
  <sheetData>
    <row r="1" spans="1:3" ht="17.25">
      <c r="A1" s="722" t="s">
        <v>524</v>
      </c>
      <c r="B1" s="723"/>
      <c r="C1" s="723"/>
    </row>
    <row r="2" spans="1:3" ht="15">
      <c r="A2" s="532"/>
      <c r="B2" s="532"/>
      <c r="C2" s="532"/>
    </row>
    <row r="3" spans="1:3" ht="15">
      <c r="A3" s="533" t="s">
        <v>668</v>
      </c>
      <c r="B3" s="532"/>
      <c r="C3" s="532"/>
    </row>
    <row r="4" spans="1:3" ht="15">
      <c r="A4" s="64"/>
      <c r="B4" s="64"/>
      <c r="C4" s="64"/>
    </row>
    <row r="5" spans="1:3" ht="18" customHeight="1">
      <c r="A5" s="99" t="s">
        <v>523</v>
      </c>
      <c r="B5" s="99" t="s">
        <v>642</v>
      </c>
      <c r="C5" s="99" t="s">
        <v>547</v>
      </c>
    </row>
    <row r="6" spans="1:3" ht="18" customHeight="1">
      <c r="A6" s="362" t="s">
        <v>619</v>
      </c>
      <c r="B6" s="99" t="s">
        <v>643</v>
      </c>
      <c r="C6" s="99" t="s">
        <v>664</v>
      </c>
    </row>
    <row r="7" spans="1:3" ht="44.25" customHeight="1">
      <c r="A7" s="362"/>
      <c r="B7" s="99"/>
      <c r="C7" s="363" t="s">
        <v>670</v>
      </c>
    </row>
    <row r="8" spans="1:3" ht="15">
      <c r="A8" s="362"/>
      <c r="B8" s="99"/>
      <c r="C8" s="363" t="s">
        <v>665</v>
      </c>
    </row>
    <row r="9" spans="1:3" ht="15" customHeight="1">
      <c r="A9" s="362" t="s">
        <v>520</v>
      </c>
      <c r="B9" s="99" t="s">
        <v>644</v>
      </c>
      <c r="C9" s="99" t="s">
        <v>546</v>
      </c>
    </row>
    <row r="10" spans="1:3" ht="18" customHeight="1">
      <c r="A10" s="362" t="s">
        <v>618</v>
      </c>
      <c r="B10" s="99" t="s">
        <v>645</v>
      </c>
      <c r="C10" s="99" t="s">
        <v>671</v>
      </c>
    </row>
    <row r="11" spans="1:3" ht="45" customHeight="1">
      <c r="A11" s="362"/>
      <c r="B11" s="99"/>
      <c r="C11" s="363" t="s">
        <v>666</v>
      </c>
    </row>
    <row r="12" spans="1:3" ht="18" customHeight="1">
      <c r="A12" s="362"/>
      <c r="B12" s="99"/>
      <c r="C12" s="363" t="s">
        <v>665</v>
      </c>
    </row>
    <row r="13" spans="1:3" ht="16.5" customHeight="1">
      <c r="A13" s="362" t="s">
        <v>525</v>
      </c>
      <c r="B13" s="99" t="s">
        <v>646</v>
      </c>
      <c r="C13" s="374" t="s">
        <v>667</v>
      </c>
    </row>
    <row r="14" spans="1:3" ht="15.75" customHeight="1">
      <c r="A14" s="99"/>
      <c r="B14" s="99"/>
      <c r="C14" s="364" t="s">
        <v>541</v>
      </c>
    </row>
    <row r="15" spans="1:3" ht="15">
      <c r="A15" s="362" t="s">
        <v>521</v>
      </c>
      <c r="B15" s="99" t="s">
        <v>647</v>
      </c>
      <c r="C15" s="99" t="s">
        <v>548</v>
      </c>
    </row>
    <row r="16" spans="1:3" ht="15">
      <c r="A16" s="484" t="s">
        <v>620</v>
      </c>
      <c r="B16" s="99" t="s">
        <v>648</v>
      </c>
      <c r="C16" s="484" t="s">
        <v>669</v>
      </c>
    </row>
    <row r="17" spans="1:3" ht="15">
      <c r="A17" s="362" t="s">
        <v>522</v>
      </c>
      <c r="B17" s="99" t="s">
        <v>649</v>
      </c>
      <c r="C17" s="99" t="s">
        <v>549</v>
      </c>
    </row>
    <row r="18" spans="1:3" ht="15">
      <c r="A18" s="64"/>
      <c r="B18" s="64"/>
      <c r="C18" s="64"/>
    </row>
    <row r="19" spans="1:3" ht="15">
      <c r="A19" s="64"/>
      <c r="B19" s="64"/>
      <c r="C19" s="64"/>
    </row>
    <row r="20" spans="1:3" ht="15">
      <c r="A20" s="64"/>
      <c r="B20" s="64"/>
      <c r="C20" s="64"/>
    </row>
    <row r="21" spans="1:3" ht="15">
      <c r="A21" s="64"/>
      <c r="B21" s="64"/>
      <c r="C21" s="64"/>
    </row>
    <row r="22" spans="1:3" ht="15">
      <c r="A22" s="64"/>
      <c r="B22" s="64"/>
      <c r="C22" s="64"/>
    </row>
    <row r="23" spans="1:3" ht="15">
      <c r="A23" s="64"/>
      <c r="B23" s="64"/>
      <c r="C23" s="64"/>
    </row>
    <row r="24" spans="1:3" ht="15">
      <c r="A24" s="64"/>
      <c r="B24" s="64"/>
      <c r="C24" s="64"/>
    </row>
    <row r="25" spans="1:3" ht="15">
      <c r="A25" s="64"/>
      <c r="B25" s="64"/>
      <c r="C25" s="64"/>
    </row>
    <row r="26" spans="1:3" ht="15">
      <c r="A26" s="64"/>
      <c r="B26" s="64"/>
      <c r="C26" s="64"/>
    </row>
    <row r="27" spans="1:3" ht="15">
      <c r="A27" s="64"/>
      <c r="B27" s="64"/>
      <c r="C27" s="64"/>
    </row>
    <row r="28" spans="1:3" ht="15">
      <c r="A28" s="64"/>
      <c r="B28" s="64"/>
      <c r="C28" s="64"/>
    </row>
    <row r="29" spans="1:3" ht="15">
      <c r="A29" s="64"/>
      <c r="B29" s="64"/>
      <c r="C29" s="64"/>
    </row>
    <row r="30" spans="1:3" ht="15">
      <c r="A30" s="64"/>
      <c r="B30" s="64"/>
      <c r="C30" s="64"/>
    </row>
    <row r="31" spans="1:3" ht="15">
      <c r="A31" s="64"/>
      <c r="B31" s="64"/>
      <c r="C31" s="64"/>
    </row>
    <row r="32" spans="1:3" ht="15">
      <c r="A32" s="64"/>
      <c r="B32" s="64"/>
      <c r="C32" s="64"/>
    </row>
    <row r="33" spans="1:3" ht="15">
      <c r="A33" s="64"/>
      <c r="B33" s="64"/>
      <c r="C33" s="64"/>
    </row>
    <row r="34" spans="1:3" ht="15">
      <c r="A34" s="64"/>
      <c r="B34" s="64"/>
      <c r="C34" s="64"/>
    </row>
    <row r="35" spans="1:3" ht="15">
      <c r="A35" s="64"/>
      <c r="B35" s="64"/>
      <c r="C35" s="64"/>
    </row>
    <row r="36" spans="1:3" ht="15">
      <c r="A36" s="64"/>
      <c r="B36" s="64"/>
      <c r="C36" s="64"/>
    </row>
    <row r="37" spans="1:3" ht="15">
      <c r="A37" s="64"/>
      <c r="B37" s="64"/>
      <c r="C37" s="64"/>
    </row>
    <row r="38" spans="1:3" ht="15">
      <c r="A38" s="64"/>
      <c r="B38" s="64"/>
      <c r="C38" s="64"/>
    </row>
    <row r="39" spans="1:3" ht="15">
      <c r="A39" s="64"/>
      <c r="B39" s="64"/>
      <c r="C39" s="64"/>
    </row>
    <row r="40" spans="1:3" ht="15">
      <c r="A40" s="64"/>
      <c r="B40" s="64"/>
      <c r="C40" s="64"/>
    </row>
    <row r="41" spans="1:3" ht="15">
      <c r="A41" s="64"/>
      <c r="B41" s="64"/>
      <c r="C41" s="64"/>
    </row>
    <row r="42" ht="15">
      <c r="A42" s="64"/>
    </row>
    <row r="43" ht="15">
      <c r="A43" s="64"/>
    </row>
    <row r="44" ht="15">
      <c r="A44" s="64"/>
    </row>
  </sheetData>
  <sheetProtection sheet="1" objects="1" scenario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9"/>
    <pageSetUpPr fitToPage="1"/>
  </sheetPr>
  <dimension ref="A1:C122"/>
  <sheetViews>
    <sheetView workbookViewId="0" topLeftCell="A1">
      <selection activeCell="C85" sqref="C85"/>
    </sheetView>
  </sheetViews>
  <sheetFormatPr defaultColWidth="9.140625" defaultRowHeight="12.75"/>
  <cols>
    <col min="1" max="1" width="10.28125" style="0" customWidth="1"/>
    <col min="2" max="2" width="17.28125" style="0" customWidth="1"/>
    <col min="3" max="3" width="94.28125" style="0" customWidth="1"/>
  </cols>
  <sheetData>
    <row r="1" spans="1:3" ht="17.25">
      <c r="A1" s="722" t="s">
        <v>484</v>
      </c>
      <c r="B1" s="722"/>
      <c r="C1" s="722"/>
    </row>
    <row r="2" ht="13.5" thickBot="1"/>
    <row r="3" spans="1:3" ht="15" thickBot="1">
      <c r="A3" s="724" t="s">
        <v>485</v>
      </c>
      <c r="B3" s="725"/>
      <c r="C3" s="726"/>
    </row>
    <row r="4" spans="1:3" ht="15">
      <c r="A4" s="727" t="s">
        <v>483</v>
      </c>
      <c r="B4" s="727"/>
      <c r="C4" s="727"/>
    </row>
    <row r="6" spans="1:2" ht="17.25">
      <c r="A6" s="323" t="s">
        <v>430</v>
      </c>
      <c r="B6" s="323"/>
    </row>
    <row r="7" spans="1:3" ht="15">
      <c r="A7" s="320" t="s">
        <v>431</v>
      </c>
      <c r="B7" s="320" t="s">
        <v>11</v>
      </c>
      <c r="C7" s="320" t="s">
        <v>562</v>
      </c>
    </row>
    <row r="8" spans="1:3" ht="15">
      <c r="A8" s="320" t="s">
        <v>432</v>
      </c>
      <c r="B8" s="320" t="s">
        <v>563</v>
      </c>
      <c r="C8" s="320" t="s">
        <v>564</v>
      </c>
    </row>
    <row r="9" spans="1:3" ht="18">
      <c r="A9" s="321" t="s">
        <v>433</v>
      </c>
      <c r="B9" s="404" t="s">
        <v>565</v>
      </c>
      <c r="C9" s="320" t="s">
        <v>434</v>
      </c>
    </row>
    <row r="10" spans="1:3" ht="21">
      <c r="A10" s="322" t="s">
        <v>435</v>
      </c>
      <c r="B10" s="320" t="s">
        <v>563</v>
      </c>
      <c r="C10" s="320" t="s">
        <v>478</v>
      </c>
    </row>
    <row r="11" spans="1:3" ht="15">
      <c r="A11" s="320"/>
      <c r="B11" s="320"/>
      <c r="C11" s="320" t="s">
        <v>436</v>
      </c>
    </row>
    <row r="12" spans="1:3" ht="15">
      <c r="A12" s="320"/>
      <c r="B12" s="320"/>
      <c r="C12" s="320"/>
    </row>
    <row r="13" spans="1:3" ht="17.25">
      <c r="A13" s="323" t="s">
        <v>491</v>
      </c>
      <c r="B13" s="407"/>
      <c r="C13" s="320"/>
    </row>
    <row r="14" spans="1:3" ht="15">
      <c r="A14" s="334">
        <v>0</v>
      </c>
      <c r="B14" s="334"/>
      <c r="C14" s="320" t="s">
        <v>492</v>
      </c>
    </row>
    <row r="15" spans="1:3" ht="15">
      <c r="A15" s="334" t="s">
        <v>496</v>
      </c>
      <c r="B15" s="334"/>
      <c r="C15" s="320" t="s">
        <v>391</v>
      </c>
    </row>
    <row r="16" spans="1:3" ht="15">
      <c r="A16" s="334" t="s">
        <v>13</v>
      </c>
      <c r="B16" s="334"/>
      <c r="C16" s="320" t="s">
        <v>495</v>
      </c>
    </row>
    <row r="17" spans="1:3" ht="15">
      <c r="A17" s="334" t="s">
        <v>252</v>
      </c>
      <c r="B17" s="334"/>
      <c r="C17" s="320" t="s">
        <v>506</v>
      </c>
    </row>
    <row r="18" spans="1:3" ht="15">
      <c r="A18" s="334" t="s">
        <v>501</v>
      </c>
      <c r="B18" s="334"/>
      <c r="C18" s="320" t="s">
        <v>502</v>
      </c>
    </row>
    <row r="19" spans="1:3" ht="15">
      <c r="A19" s="334" t="s">
        <v>225</v>
      </c>
      <c r="B19" s="334"/>
      <c r="C19" s="320" t="s">
        <v>505</v>
      </c>
    </row>
    <row r="20" spans="1:3" ht="15">
      <c r="A20" s="334" t="s">
        <v>226</v>
      </c>
      <c r="B20" s="334"/>
      <c r="C20" s="320" t="s">
        <v>499</v>
      </c>
    </row>
    <row r="21" spans="1:3" ht="15">
      <c r="A21" s="334" t="s">
        <v>517</v>
      </c>
      <c r="B21" s="334"/>
      <c r="C21" s="320" t="s">
        <v>500</v>
      </c>
    </row>
    <row r="22" spans="1:3" ht="15">
      <c r="A22" s="334" t="s">
        <v>497</v>
      </c>
      <c r="B22" s="334"/>
      <c r="C22" s="320" t="s">
        <v>498</v>
      </c>
    </row>
    <row r="23" spans="1:3" ht="15">
      <c r="A23" s="334" t="s">
        <v>503</v>
      </c>
      <c r="B23" s="334"/>
      <c r="C23" s="320" t="s">
        <v>504</v>
      </c>
    </row>
    <row r="24" spans="1:3" ht="15">
      <c r="A24" s="334" t="s">
        <v>493</v>
      </c>
      <c r="B24" s="334"/>
      <c r="C24" s="320" t="s">
        <v>494</v>
      </c>
    </row>
    <row r="25" spans="1:3" ht="15">
      <c r="A25" s="334" t="s">
        <v>233</v>
      </c>
      <c r="B25" s="334"/>
      <c r="C25" s="320" t="s">
        <v>64</v>
      </c>
    </row>
    <row r="26" spans="1:3" ht="15">
      <c r="A26" s="320"/>
      <c r="B26" s="320"/>
      <c r="C26" s="64"/>
    </row>
    <row r="27" spans="1:3" ht="18" thickBot="1">
      <c r="A27" s="323" t="s">
        <v>437</v>
      </c>
      <c r="B27" s="323"/>
      <c r="C27" s="64"/>
    </row>
    <row r="28" spans="1:3" ht="18" thickBot="1">
      <c r="A28" s="341" t="s">
        <v>438</v>
      </c>
      <c r="B28" s="404" t="s">
        <v>566</v>
      </c>
      <c r="C28" s="320" t="s">
        <v>567</v>
      </c>
    </row>
    <row r="29" spans="1:3" ht="18">
      <c r="A29" s="340" t="s">
        <v>439</v>
      </c>
      <c r="B29" s="404" t="s">
        <v>568</v>
      </c>
      <c r="C29" s="320" t="s">
        <v>569</v>
      </c>
    </row>
    <row r="30" spans="1:3" ht="18">
      <c r="A30" s="330" t="s">
        <v>440</v>
      </c>
      <c r="B30" s="408" t="s">
        <v>570</v>
      </c>
      <c r="C30" s="320" t="s">
        <v>571</v>
      </c>
    </row>
    <row r="31" spans="1:3" ht="18" thickBot="1">
      <c r="A31" s="342" t="s">
        <v>441</v>
      </c>
      <c r="B31" s="404" t="s">
        <v>572</v>
      </c>
      <c r="C31" s="320" t="s">
        <v>571</v>
      </c>
    </row>
    <row r="32" spans="1:3" ht="18" thickBot="1">
      <c r="A32" s="341" t="s">
        <v>442</v>
      </c>
      <c r="B32" s="404" t="s">
        <v>46</v>
      </c>
      <c r="C32" s="320" t="s">
        <v>573</v>
      </c>
    </row>
    <row r="33" spans="1:3" ht="18.75" customHeight="1">
      <c r="A33" s="332" t="s">
        <v>482</v>
      </c>
      <c r="B33" s="404" t="s">
        <v>574</v>
      </c>
      <c r="C33" s="331" t="s">
        <v>575</v>
      </c>
    </row>
    <row r="34" spans="1:2" ht="15.75" thickBot="1">
      <c r="A34" s="343"/>
      <c r="B34" s="404"/>
    </row>
    <row r="35" spans="1:3" ht="18.75" thickBot="1">
      <c r="A35" s="344" t="s">
        <v>443</v>
      </c>
      <c r="B35" s="409" t="s">
        <v>134</v>
      </c>
      <c r="C35" s="320" t="s">
        <v>135</v>
      </c>
    </row>
    <row r="36" spans="1:3" ht="18">
      <c r="A36" s="340" t="s">
        <v>444</v>
      </c>
      <c r="B36" s="409" t="s">
        <v>134</v>
      </c>
      <c r="C36" s="320" t="s">
        <v>445</v>
      </c>
    </row>
    <row r="37" spans="1:3" ht="18">
      <c r="A37" s="329" t="s">
        <v>446</v>
      </c>
      <c r="B37" s="404" t="s">
        <v>576</v>
      </c>
      <c r="C37" s="328" t="s">
        <v>577</v>
      </c>
    </row>
    <row r="38" spans="1:2" ht="15">
      <c r="A38" s="325"/>
      <c r="B38" s="404"/>
    </row>
    <row r="39" spans="1:2" ht="17.25">
      <c r="A39" s="327" t="s">
        <v>447</v>
      </c>
      <c r="B39" s="406"/>
    </row>
    <row r="40" spans="1:3" ht="15">
      <c r="A40" s="329" t="s">
        <v>448</v>
      </c>
      <c r="B40" s="404" t="s">
        <v>578</v>
      </c>
      <c r="C40" s="320" t="s">
        <v>449</v>
      </c>
    </row>
    <row r="41" spans="1:3" ht="15">
      <c r="A41" s="329" t="s">
        <v>450</v>
      </c>
      <c r="B41" s="404" t="s">
        <v>578</v>
      </c>
      <c r="C41" s="320" t="s">
        <v>451</v>
      </c>
    </row>
    <row r="42" spans="1:3" ht="15">
      <c r="A42" s="329" t="s">
        <v>9</v>
      </c>
      <c r="B42" s="409" t="s">
        <v>134</v>
      </c>
      <c r="C42" s="324" t="s">
        <v>477</v>
      </c>
    </row>
    <row r="43" spans="1:2" ht="15.75" thickBot="1">
      <c r="A43" s="343"/>
      <c r="B43" s="404"/>
    </row>
    <row r="44" spans="1:3" ht="31.5">
      <c r="A44" s="410" t="s">
        <v>452</v>
      </c>
      <c r="B44" s="411" t="s">
        <v>579</v>
      </c>
      <c r="C44" s="412" t="s">
        <v>580</v>
      </c>
    </row>
    <row r="45" spans="1:3" ht="18.75" thickBot="1">
      <c r="A45" s="346" t="s">
        <v>453</v>
      </c>
      <c r="B45" s="404" t="s">
        <v>563</v>
      </c>
      <c r="C45" s="320" t="s">
        <v>508</v>
      </c>
    </row>
    <row r="46" spans="1:2" ht="15.75" thickBot="1">
      <c r="A46" s="347"/>
      <c r="B46" s="404"/>
    </row>
    <row r="47" spans="1:3" ht="18" thickBot="1">
      <c r="A47" s="341" t="s">
        <v>454</v>
      </c>
      <c r="B47" s="404" t="s">
        <v>11</v>
      </c>
      <c r="C47" s="320" t="s">
        <v>581</v>
      </c>
    </row>
    <row r="48" spans="1:2" ht="15.75" thickBot="1">
      <c r="A48" s="345"/>
      <c r="B48" s="404"/>
    </row>
    <row r="49" spans="1:3" ht="18" thickBot="1">
      <c r="A49" s="341" t="s">
        <v>455</v>
      </c>
      <c r="B49" s="404" t="s">
        <v>11</v>
      </c>
      <c r="C49" s="320" t="s">
        <v>582</v>
      </c>
    </row>
    <row r="50" spans="1:3" ht="20.25" thickBot="1">
      <c r="A50" s="330" t="s">
        <v>456</v>
      </c>
      <c r="B50" s="404" t="s">
        <v>565</v>
      </c>
      <c r="C50" s="320" t="s">
        <v>582</v>
      </c>
    </row>
    <row r="51" spans="1:3" ht="18" thickBot="1">
      <c r="A51" s="341" t="s">
        <v>457</v>
      </c>
      <c r="B51" s="404" t="s">
        <v>11</v>
      </c>
      <c r="C51" s="320" t="s">
        <v>583</v>
      </c>
    </row>
    <row r="52" spans="1:3" ht="19.5">
      <c r="A52" s="330" t="s">
        <v>458</v>
      </c>
      <c r="B52" s="404" t="s">
        <v>565</v>
      </c>
      <c r="C52" s="320" t="s">
        <v>583</v>
      </c>
    </row>
    <row r="53" spans="1:3" ht="18">
      <c r="A53" s="329" t="s">
        <v>459</v>
      </c>
      <c r="B53" s="404" t="s">
        <v>584</v>
      </c>
      <c r="C53" s="320" t="s">
        <v>585</v>
      </c>
    </row>
    <row r="54" spans="1:2" ht="15.75" thickBot="1">
      <c r="A54" s="325"/>
      <c r="B54" s="404"/>
    </row>
    <row r="55" spans="1:3" ht="18" thickBot="1">
      <c r="A55" s="341" t="s">
        <v>460</v>
      </c>
      <c r="B55" s="404" t="s">
        <v>586</v>
      </c>
      <c r="C55" s="320" t="s">
        <v>587</v>
      </c>
    </row>
    <row r="56" spans="1:3" ht="18" thickBot="1">
      <c r="A56" s="325" t="s">
        <v>461</v>
      </c>
      <c r="B56" s="404" t="s">
        <v>57</v>
      </c>
      <c r="C56" s="320" t="s">
        <v>588</v>
      </c>
    </row>
    <row r="57" spans="1:3" ht="18" thickBot="1">
      <c r="A57" s="341" t="s">
        <v>636</v>
      </c>
      <c r="B57" s="404" t="s">
        <v>637</v>
      </c>
      <c r="C57" s="320" t="s">
        <v>638</v>
      </c>
    </row>
    <row r="58" spans="1:2" ht="15.75" thickBot="1">
      <c r="A58" s="343" t="s">
        <v>462</v>
      </c>
      <c r="B58" s="404"/>
    </row>
    <row r="59" spans="1:3" ht="18">
      <c r="A59" s="348" t="s">
        <v>463</v>
      </c>
      <c r="B59" s="404" t="s">
        <v>589</v>
      </c>
      <c r="C59" s="320" t="s">
        <v>590</v>
      </c>
    </row>
    <row r="60" spans="1:3" ht="18" thickBot="1">
      <c r="A60" s="349" t="s">
        <v>464</v>
      </c>
      <c r="B60" s="404" t="s">
        <v>57</v>
      </c>
      <c r="C60" s="320" t="s">
        <v>591</v>
      </c>
    </row>
    <row r="61" spans="1:2" ht="15.75" thickBot="1">
      <c r="A61" s="347"/>
      <c r="B61" s="404"/>
    </row>
    <row r="62" spans="1:3" ht="18">
      <c r="A62" s="348" t="s">
        <v>465</v>
      </c>
      <c r="B62" s="404" t="s">
        <v>57</v>
      </c>
      <c r="C62" s="320" t="s">
        <v>592</v>
      </c>
    </row>
    <row r="63" spans="1:3" ht="18">
      <c r="A63" s="350" t="s">
        <v>466</v>
      </c>
      <c r="B63" s="404" t="s">
        <v>589</v>
      </c>
      <c r="C63" s="320" t="s">
        <v>593</v>
      </c>
    </row>
    <row r="64" spans="1:3" ht="15.75" thickBot="1">
      <c r="A64" s="349" t="s">
        <v>467</v>
      </c>
      <c r="B64" s="404" t="s">
        <v>57</v>
      </c>
      <c r="C64" s="320" t="s">
        <v>594</v>
      </c>
    </row>
    <row r="65" spans="1:3" ht="18" thickBot="1">
      <c r="A65" s="351" t="s">
        <v>514</v>
      </c>
      <c r="B65" s="404" t="s">
        <v>57</v>
      </c>
      <c r="C65" s="320" t="s">
        <v>595</v>
      </c>
    </row>
    <row r="66" spans="1:3" ht="18.75" thickBot="1">
      <c r="A66" s="353" t="s">
        <v>513</v>
      </c>
      <c r="B66" s="404" t="s">
        <v>596</v>
      </c>
      <c r="C66" s="320" t="s">
        <v>597</v>
      </c>
    </row>
    <row r="67" spans="1:3" ht="18">
      <c r="A67" s="352" t="s">
        <v>512</v>
      </c>
      <c r="B67" s="404"/>
      <c r="C67" s="320" t="s">
        <v>518</v>
      </c>
    </row>
    <row r="68" spans="1:2" ht="15.75" thickBot="1">
      <c r="A68" s="343"/>
      <c r="B68" s="404"/>
    </row>
    <row r="69" spans="1:3" ht="18" thickBot="1">
      <c r="A69" s="341" t="s">
        <v>468</v>
      </c>
      <c r="B69" s="404" t="s">
        <v>57</v>
      </c>
      <c r="C69" s="320" t="s">
        <v>598</v>
      </c>
    </row>
    <row r="70" spans="1:2" ht="17.25">
      <c r="A70" s="354"/>
      <c r="B70" s="404"/>
    </row>
    <row r="71" spans="1:2" ht="17.25">
      <c r="A71" s="327" t="s">
        <v>469</v>
      </c>
      <c r="B71" s="404"/>
    </row>
    <row r="72" spans="1:2" ht="17.25">
      <c r="A72" s="327"/>
      <c r="B72" s="404"/>
    </row>
    <row r="73" spans="1:3" ht="18">
      <c r="A73" s="329" t="s">
        <v>599</v>
      </c>
      <c r="B73" s="404" t="s">
        <v>600</v>
      </c>
      <c r="C73" s="320" t="s">
        <v>601</v>
      </c>
    </row>
    <row r="74" spans="1:2" ht="15">
      <c r="A74" s="326"/>
      <c r="B74" s="404"/>
    </row>
    <row r="75" spans="1:3" ht="19.5">
      <c r="A75" s="330" t="s">
        <v>470</v>
      </c>
      <c r="B75" s="404" t="s">
        <v>565</v>
      </c>
      <c r="C75" s="320" t="s">
        <v>602</v>
      </c>
    </row>
    <row r="76" spans="1:3" ht="18">
      <c r="A76" s="329" t="s">
        <v>471</v>
      </c>
      <c r="B76" s="404" t="s">
        <v>11</v>
      </c>
      <c r="C76" s="320" t="s">
        <v>603</v>
      </c>
    </row>
    <row r="77" spans="1:2" ht="15">
      <c r="A77" s="325"/>
      <c r="B77" s="404"/>
    </row>
    <row r="78" spans="1:3" ht="18">
      <c r="A78" s="329" t="s">
        <v>472</v>
      </c>
      <c r="B78" s="404" t="s">
        <v>563</v>
      </c>
      <c r="C78" s="320" t="s">
        <v>604</v>
      </c>
    </row>
    <row r="79" spans="1:3" ht="18">
      <c r="A79" s="329" t="s">
        <v>473</v>
      </c>
      <c r="B79" s="404" t="s">
        <v>11</v>
      </c>
      <c r="C79" s="320" t="s">
        <v>605</v>
      </c>
    </row>
    <row r="80" spans="1:3" ht="19.5">
      <c r="A80" s="330" t="s">
        <v>474</v>
      </c>
      <c r="B80" s="404" t="s">
        <v>565</v>
      </c>
      <c r="C80" s="320" t="s">
        <v>606</v>
      </c>
    </row>
    <row r="81" spans="1:3" ht="18">
      <c r="A81" s="330" t="s">
        <v>475</v>
      </c>
      <c r="B81" s="409" t="s">
        <v>134</v>
      </c>
      <c r="C81" s="320" t="s">
        <v>476</v>
      </c>
    </row>
    <row r="82" spans="1:3" ht="15">
      <c r="A82" s="405"/>
      <c r="B82" s="409"/>
      <c r="C82" s="320"/>
    </row>
    <row r="83" spans="1:3" ht="32.25" customHeight="1">
      <c r="A83" s="728" t="s">
        <v>607</v>
      </c>
      <c r="B83" s="729"/>
      <c r="C83" s="729"/>
    </row>
    <row r="84" spans="1:2" ht="15">
      <c r="A84" s="320"/>
      <c r="B84" s="328"/>
    </row>
    <row r="85" spans="1:3" ht="17.25">
      <c r="A85" s="320"/>
      <c r="B85" s="328"/>
      <c r="C85" s="402" t="s">
        <v>561</v>
      </c>
    </row>
    <row r="86" spans="1:3" ht="15.75">
      <c r="A86" s="320"/>
      <c r="B86" s="320"/>
      <c r="C86" s="403" t="s">
        <v>651</v>
      </c>
    </row>
    <row r="88" spans="1:3" ht="408.75" customHeight="1">
      <c r="A88" s="214"/>
      <c r="B88" s="214"/>
      <c r="C88" s="214"/>
    </row>
    <row r="89" spans="1:3" ht="12.75">
      <c r="A89" s="214"/>
      <c r="B89" s="214"/>
      <c r="C89" s="214"/>
    </row>
    <row r="90" spans="1:3" ht="12.75">
      <c r="A90" s="214"/>
      <c r="B90" s="214"/>
      <c r="C90" s="214"/>
    </row>
    <row r="91" spans="2:3" ht="12.75">
      <c r="B91" s="214"/>
      <c r="C91" s="214"/>
    </row>
    <row r="92" spans="2:3" ht="12.75">
      <c r="B92" s="214"/>
      <c r="C92" s="214"/>
    </row>
    <row r="93" ht="12.75">
      <c r="C93" s="214"/>
    </row>
    <row r="94" ht="12.75">
      <c r="C94" s="214"/>
    </row>
    <row r="95" ht="12.75">
      <c r="C95" s="214"/>
    </row>
    <row r="96" ht="12.75">
      <c r="C96" s="214"/>
    </row>
    <row r="97" ht="12.75">
      <c r="C97" s="214"/>
    </row>
    <row r="98" ht="12.75">
      <c r="C98" s="214"/>
    </row>
    <row r="99" ht="12.75">
      <c r="C99" s="214"/>
    </row>
    <row r="100" ht="12.75">
      <c r="C100" s="214"/>
    </row>
    <row r="101" ht="12.75">
      <c r="C101" s="214"/>
    </row>
    <row r="102" ht="12.75">
      <c r="C102" s="214"/>
    </row>
    <row r="103" ht="12.75">
      <c r="C103" s="214"/>
    </row>
    <row r="104" ht="12.75">
      <c r="C104" s="214"/>
    </row>
    <row r="105" ht="12.75">
      <c r="C105" s="214"/>
    </row>
    <row r="106" ht="12.75">
      <c r="C106" s="214"/>
    </row>
    <row r="107" ht="12.75">
      <c r="C107" s="214"/>
    </row>
    <row r="108" ht="12.75">
      <c r="C108" s="214"/>
    </row>
    <row r="109" ht="12.75">
      <c r="C109" s="214"/>
    </row>
    <row r="110" ht="12.75">
      <c r="C110" s="214"/>
    </row>
    <row r="111" ht="12.75">
      <c r="C111" s="214"/>
    </row>
    <row r="112" ht="12.75">
      <c r="C112" s="214"/>
    </row>
    <row r="113" ht="12.75">
      <c r="C113" s="214"/>
    </row>
    <row r="114" ht="12.75">
      <c r="C114" s="214"/>
    </row>
    <row r="115" ht="12.75">
      <c r="C115" s="214"/>
    </row>
    <row r="116" ht="12.75">
      <c r="C116" s="214"/>
    </row>
    <row r="117" ht="12.75">
      <c r="C117" s="214"/>
    </row>
    <row r="118" ht="12.75">
      <c r="C118" s="214"/>
    </row>
    <row r="119" ht="12.75">
      <c r="C119" s="214"/>
    </row>
    <row r="120" ht="12.75">
      <c r="C120" s="214"/>
    </row>
    <row r="121" ht="12.75">
      <c r="C121" s="214"/>
    </row>
    <row r="122" ht="12.75">
      <c r="C122" s="214"/>
    </row>
  </sheetData>
  <sheetProtection sheet="1" objects="1" scenarios="1" selectLockedCells="1" selectUnlockedCells="1"/>
  <mergeCells count="4">
    <mergeCell ref="A1:C1"/>
    <mergeCell ref="A3:C3"/>
    <mergeCell ref="A4:C4"/>
    <mergeCell ref="A83:C83"/>
  </mergeCells>
  <printOptions/>
  <pageMargins left="0.75" right="0.75" top="1" bottom="1" header="0.5" footer="0.5"/>
  <pageSetup fitToHeight="2" fitToWidth="1" horizontalDpi="600" verticalDpi="600" orientation="portrait" scale="88" r:id="rId3"/>
  <legacyDrawing r:id="rId2"/>
  <oleObjects>
    <oleObject progId="AutoSketch.Drawing.9" shapeId="606923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9"/>
  </sheetPr>
  <dimension ref="A1:V77"/>
  <sheetViews>
    <sheetView workbookViewId="0" topLeftCell="A25">
      <selection activeCell="D41" sqref="D41"/>
    </sheetView>
  </sheetViews>
  <sheetFormatPr defaultColWidth="9.140625" defaultRowHeight="12.75"/>
  <cols>
    <col min="2" max="2" width="10.28125" style="0" customWidth="1"/>
    <col min="3" max="3" width="23.57421875" style="0" bestFit="1" customWidth="1"/>
    <col min="4" max="4" width="38.00390625" style="0" customWidth="1"/>
    <col min="5" max="5" width="35.140625" style="0" customWidth="1"/>
  </cols>
  <sheetData>
    <row r="1" spans="1:9" ht="12.75">
      <c r="A1" s="15" t="s">
        <v>737</v>
      </c>
      <c r="B1" s="15"/>
      <c r="C1" s="15" t="s">
        <v>678</v>
      </c>
      <c r="D1" s="17"/>
      <c r="E1" s="17"/>
      <c r="F1" s="17"/>
      <c r="G1" s="17"/>
      <c r="H1" s="17"/>
      <c r="I1" s="17"/>
    </row>
    <row r="2" spans="1:9" ht="12.75">
      <c r="A2" s="565" t="s">
        <v>697</v>
      </c>
      <c r="B2" s="565"/>
      <c r="C2" s="241" t="s">
        <v>364</v>
      </c>
      <c r="D2" s="17" t="s">
        <v>739</v>
      </c>
      <c r="E2" s="17"/>
      <c r="F2" s="17"/>
      <c r="G2" s="17"/>
      <c r="H2" s="17"/>
      <c r="I2" s="17"/>
    </row>
    <row r="3" spans="1:9" ht="12.75">
      <c r="A3" s="565" t="s">
        <v>698</v>
      </c>
      <c r="B3" s="565"/>
      <c r="C3" s="241" t="s">
        <v>365</v>
      </c>
      <c r="D3" s="17" t="s">
        <v>739</v>
      </c>
      <c r="E3" s="17"/>
      <c r="F3" s="17"/>
      <c r="G3" s="17"/>
      <c r="H3" s="17"/>
      <c r="I3" s="17"/>
    </row>
    <row r="4" spans="1:9" ht="12.75">
      <c r="A4" s="565" t="s">
        <v>699</v>
      </c>
      <c r="B4" s="565"/>
      <c r="C4" s="241" t="s">
        <v>366</v>
      </c>
      <c r="D4" s="17" t="s">
        <v>739</v>
      </c>
      <c r="E4" s="17"/>
      <c r="F4" s="17"/>
      <c r="G4" s="17"/>
      <c r="H4" s="17"/>
      <c r="I4" s="17"/>
    </row>
    <row r="5" spans="1:9" ht="12.75">
      <c r="A5" s="565" t="s">
        <v>700</v>
      </c>
      <c r="B5" s="565"/>
      <c r="C5" s="241" t="s">
        <v>367</v>
      </c>
      <c r="D5" s="17" t="s">
        <v>739</v>
      </c>
      <c r="E5" s="17"/>
      <c r="F5" s="17"/>
      <c r="G5" s="17"/>
      <c r="H5" s="17"/>
      <c r="I5" s="17"/>
    </row>
    <row r="6" spans="1:9" ht="12.75">
      <c r="A6" s="565" t="s">
        <v>701</v>
      </c>
      <c r="B6" s="565"/>
      <c r="C6" s="241" t="s">
        <v>377</v>
      </c>
      <c r="D6" s="17" t="s">
        <v>739</v>
      </c>
      <c r="E6" s="17"/>
      <c r="F6" s="17"/>
      <c r="G6" s="17"/>
      <c r="H6" s="17"/>
      <c r="I6" s="17"/>
    </row>
    <row r="7" spans="1:9" ht="12.75">
      <c r="A7" s="565" t="s">
        <v>702</v>
      </c>
      <c r="B7" s="565"/>
      <c r="C7" s="241" t="s">
        <v>535</v>
      </c>
      <c r="D7" s="17" t="s">
        <v>739</v>
      </c>
      <c r="E7" s="17"/>
      <c r="F7" s="17"/>
      <c r="G7" s="17"/>
      <c r="H7" s="17"/>
      <c r="I7" s="17"/>
    </row>
    <row r="8" spans="1:9" ht="15">
      <c r="A8" s="565" t="s">
        <v>679</v>
      </c>
      <c r="B8" s="565"/>
      <c r="C8" s="570" t="s">
        <v>703</v>
      </c>
      <c r="D8" s="17"/>
      <c r="E8" s="17"/>
      <c r="F8" s="17"/>
      <c r="G8" s="17"/>
      <c r="H8" s="17"/>
      <c r="I8" s="17"/>
    </row>
    <row r="9" spans="1:9" ht="15">
      <c r="A9" s="565" t="s">
        <v>680</v>
      </c>
      <c r="B9" s="565"/>
      <c r="C9" s="571" t="s">
        <v>704</v>
      </c>
      <c r="D9" s="17"/>
      <c r="E9" s="17"/>
      <c r="F9" s="17"/>
      <c r="G9" s="17"/>
      <c r="H9" s="17"/>
      <c r="I9" s="17"/>
    </row>
    <row r="10" spans="1:9" ht="15">
      <c r="A10" s="565" t="s">
        <v>681</v>
      </c>
      <c r="B10" s="565"/>
      <c r="C10" s="421" t="s">
        <v>705</v>
      </c>
      <c r="D10" s="17"/>
      <c r="E10" s="17"/>
      <c r="F10" s="17"/>
      <c r="G10" s="17"/>
      <c r="H10" s="17"/>
      <c r="I10" s="17"/>
    </row>
    <row r="11" spans="1:9" ht="18">
      <c r="A11" s="565" t="s">
        <v>682</v>
      </c>
      <c r="B11" s="565"/>
      <c r="C11" s="572" t="s">
        <v>706</v>
      </c>
      <c r="D11" s="17"/>
      <c r="E11" s="17"/>
      <c r="F11" s="17"/>
      <c r="G11" s="17"/>
      <c r="H11" s="17"/>
      <c r="I11" s="17"/>
    </row>
    <row r="12" spans="1:9" ht="15">
      <c r="A12" s="565" t="s">
        <v>683</v>
      </c>
      <c r="B12" s="565"/>
      <c r="C12" s="421" t="s">
        <v>707</v>
      </c>
      <c r="D12" s="17"/>
      <c r="E12" s="17"/>
      <c r="F12" s="17"/>
      <c r="G12" s="17"/>
      <c r="H12" s="17"/>
      <c r="I12" s="17"/>
    </row>
    <row r="13" spans="1:9" ht="15">
      <c r="A13" s="565" t="s">
        <v>684</v>
      </c>
      <c r="B13" s="565"/>
      <c r="C13" s="571" t="s">
        <v>708</v>
      </c>
      <c r="D13" s="17"/>
      <c r="E13" s="17"/>
      <c r="F13" s="17"/>
      <c r="G13" s="17"/>
      <c r="H13" s="17"/>
      <c r="I13" s="17"/>
    </row>
    <row r="14" spans="1:9" ht="15">
      <c r="A14" s="565" t="s">
        <v>685</v>
      </c>
      <c r="B14" s="565"/>
      <c r="C14" s="570" t="s">
        <v>709</v>
      </c>
      <c r="D14" s="17"/>
      <c r="E14" s="17"/>
      <c r="F14" s="17"/>
      <c r="G14" s="17"/>
      <c r="H14" s="17"/>
      <c r="I14" s="17"/>
    </row>
    <row r="15" spans="1:9" ht="15">
      <c r="A15" s="565" t="s">
        <v>686</v>
      </c>
      <c r="B15" s="565"/>
      <c r="C15" s="571" t="s">
        <v>710</v>
      </c>
      <c r="D15" s="17"/>
      <c r="E15" s="17"/>
      <c r="F15" s="17"/>
      <c r="G15" s="17"/>
      <c r="H15" s="17"/>
      <c r="I15" s="17"/>
    </row>
    <row r="16" spans="1:9" ht="15">
      <c r="A16" s="565" t="s">
        <v>687</v>
      </c>
      <c r="B16" s="565"/>
      <c r="C16" s="573" t="s">
        <v>711</v>
      </c>
      <c r="D16" s="17"/>
      <c r="E16" s="17"/>
      <c r="F16" s="17"/>
      <c r="G16" s="17"/>
      <c r="H16" s="17"/>
      <c r="I16" s="17"/>
    </row>
    <row r="17" spans="1:9" ht="15">
      <c r="A17" s="565" t="s">
        <v>688</v>
      </c>
      <c r="B17" s="565"/>
      <c r="C17" s="574" t="s">
        <v>712</v>
      </c>
      <c r="D17" s="17"/>
      <c r="E17" s="17"/>
      <c r="F17" s="17"/>
      <c r="G17" s="17"/>
      <c r="H17" s="17"/>
      <c r="I17" s="17"/>
    </row>
    <row r="18" spans="1:9" ht="15">
      <c r="A18" s="565" t="s">
        <v>689</v>
      </c>
      <c r="B18" s="565"/>
      <c r="C18" s="385" t="s">
        <v>713</v>
      </c>
      <c r="D18" s="17"/>
      <c r="E18" s="17"/>
      <c r="F18" s="17"/>
      <c r="G18" s="17"/>
      <c r="H18" s="17"/>
      <c r="I18" s="17"/>
    </row>
    <row r="19" spans="1:9" ht="15.75">
      <c r="A19" s="565" t="s">
        <v>690</v>
      </c>
      <c r="B19" s="565"/>
      <c r="C19" s="575" t="s">
        <v>714</v>
      </c>
      <c r="D19" s="17"/>
      <c r="E19" s="17"/>
      <c r="F19" s="17"/>
      <c r="G19" s="17"/>
      <c r="H19" s="17"/>
      <c r="I19" s="17"/>
    </row>
    <row r="20" spans="1:9" ht="15">
      <c r="A20" s="565" t="s">
        <v>691</v>
      </c>
      <c r="B20" s="565"/>
      <c r="C20" s="421" t="s">
        <v>715</v>
      </c>
      <c r="D20" s="17"/>
      <c r="E20" s="17"/>
      <c r="F20" s="17"/>
      <c r="G20" s="17"/>
      <c r="H20" s="17"/>
      <c r="I20" s="17"/>
    </row>
    <row r="21" spans="1:9" ht="15.75">
      <c r="A21" s="565" t="s">
        <v>692</v>
      </c>
      <c r="B21" s="565"/>
      <c r="C21" s="576" t="s">
        <v>673</v>
      </c>
      <c r="D21" s="17"/>
      <c r="E21" s="17"/>
      <c r="F21" s="17"/>
      <c r="G21" s="17"/>
      <c r="H21" s="17"/>
      <c r="I21" s="17"/>
    </row>
    <row r="22" spans="1:9" ht="18">
      <c r="A22" s="565" t="s">
        <v>693</v>
      </c>
      <c r="B22" s="565"/>
      <c r="C22" s="577" t="s">
        <v>716</v>
      </c>
      <c r="D22" s="17"/>
      <c r="E22" s="17"/>
      <c r="F22" s="17"/>
      <c r="G22" s="17"/>
      <c r="H22" s="17"/>
      <c r="I22" s="17"/>
    </row>
    <row r="23" spans="1:9" ht="15">
      <c r="A23" s="565" t="s">
        <v>694</v>
      </c>
      <c r="B23" s="565"/>
      <c r="C23" s="421" t="s">
        <v>717</v>
      </c>
      <c r="D23" s="17"/>
      <c r="E23" s="17"/>
      <c r="F23" s="17"/>
      <c r="G23" s="17"/>
      <c r="H23" s="17"/>
      <c r="I23" s="17"/>
    </row>
    <row r="24" spans="1:9" ht="15">
      <c r="A24" s="565" t="s">
        <v>695</v>
      </c>
      <c r="B24" s="565"/>
      <c r="C24" s="421" t="s">
        <v>718</v>
      </c>
      <c r="D24" s="17"/>
      <c r="E24" s="17"/>
      <c r="F24" s="17"/>
      <c r="G24" s="17"/>
      <c r="H24" s="17"/>
      <c r="I24" s="17"/>
    </row>
    <row r="25" spans="1:9" ht="15">
      <c r="A25" s="565" t="s">
        <v>696</v>
      </c>
      <c r="B25" s="565"/>
      <c r="C25" s="421" t="s">
        <v>719</v>
      </c>
      <c r="D25" s="17"/>
      <c r="E25" s="17"/>
      <c r="F25" s="17"/>
      <c r="G25" s="17"/>
      <c r="H25" s="17"/>
      <c r="I25" s="17"/>
    </row>
    <row r="26" spans="1:9" ht="12.75">
      <c r="A26" s="565"/>
      <c r="B26" s="565"/>
      <c r="C26" s="421"/>
      <c r="D26" s="17"/>
      <c r="E26" s="17"/>
      <c r="F26" s="17"/>
      <c r="G26" s="17"/>
      <c r="H26" s="17"/>
      <c r="I26" s="17"/>
    </row>
    <row r="27" spans="1:9" ht="12.75">
      <c r="A27" s="15" t="s">
        <v>277</v>
      </c>
      <c r="B27" s="15"/>
      <c r="C27" s="15" t="s">
        <v>678</v>
      </c>
      <c r="D27" s="15" t="s">
        <v>285</v>
      </c>
      <c r="E27" s="15" t="s">
        <v>738</v>
      </c>
      <c r="F27" s="17"/>
      <c r="G27" s="17"/>
      <c r="H27" s="17"/>
      <c r="I27" s="17"/>
    </row>
    <row r="28" spans="1:9" ht="12.75">
      <c r="A28" s="579" t="s">
        <v>221</v>
      </c>
      <c r="B28" s="17"/>
      <c r="C28" s="17" t="s">
        <v>67</v>
      </c>
      <c r="D28" s="17"/>
      <c r="E28" s="17"/>
      <c r="F28" s="17"/>
      <c r="G28" s="17"/>
      <c r="H28" s="17"/>
      <c r="I28" s="17"/>
    </row>
    <row r="29" spans="1:9" ht="15">
      <c r="A29" s="579" t="s">
        <v>13</v>
      </c>
      <c r="B29" s="17"/>
      <c r="C29" s="564" t="s">
        <v>1</v>
      </c>
      <c r="D29" s="578" t="s">
        <v>740</v>
      </c>
      <c r="E29" s="17"/>
      <c r="F29" s="17"/>
      <c r="G29" s="17"/>
      <c r="H29" s="17"/>
      <c r="I29" s="17"/>
    </row>
    <row r="30" spans="1:9" ht="15">
      <c r="A30" s="730" t="s">
        <v>225</v>
      </c>
      <c r="B30" s="731" t="s">
        <v>2</v>
      </c>
      <c r="C30" s="566" t="s">
        <v>741</v>
      </c>
      <c r="D30" s="578" t="s">
        <v>749</v>
      </c>
      <c r="E30" s="17"/>
      <c r="F30" s="17"/>
      <c r="G30" s="17"/>
      <c r="H30" s="17"/>
      <c r="I30" s="17"/>
    </row>
    <row r="31" spans="1:9" ht="12.75">
      <c r="A31" s="730"/>
      <c r="B31" s="731"/>
      <c r="C31" s="566" t="s">
        <v>742</v>
      </c>
      <c r="D31" s="27">
        <v>0</v>
      </c>
      <c r="E31" s="17"/>
      <c r="F31" s="17"/>
      <c r="G31" s="17"/>
      <c r="H31" s="17"/>
      <c r="I31" s="17"/>
    </row>
    <row r="32" spans="1:9" ht="15">
      <c r="A32" s="730" t="s">
        <v>226</v>
      </c>
      <c r="B32" s="731"/>
      <c r="C32" s="566" t="s">
        <v>743</v>
      </c>
      <c r="D32" s="578" t="s">
        <v>747</v>
      </c>
      <c r="E32" s="17"/>
      <c r="F32" s="17"/>
      <c r="G32" s="17"/>
      <c r="H32" s="17"/>
      <c r="I32" s="17"/>
    </row>
    <row r="33" spans="1:9" ht="12.75">
      <c r="A33" s="730"/>
      <c r="B33" s="731"/>
      <c r="C33" s="566" t="s">
        <v>744</v>
      </c>
      <c r="D33" s="27" t="s">
        <v>748</v>
      </c>
      <c r="E33" s="17"/>
      <c r="F33" s="17"/>
      <c r="G33" s="17"/>
      <c r="H33" s="17"/>
      <c r="I33" s="17"/>
    </row>
    <row r="34" spans="1:9" ht="15">
      <c r="A34" s="730" t="s">
        <v>227</v>
      </c>
      <c r="B34" s="731"/>
      <c r="C34" s="566" t="s">
        <v>745</v>
      </c>
      <c r="D34" s="578" t="s">
        <v>750</v>
      </c>
      <c r="E34" s="17"/>
      <c r="F34" s="17"/>
      <c r="G34" s="17"/>
      <c r="H34" s="17"/>
      <c r="I34" s="17"/>
    </row>
    <row r="35" spans="1:9" ht="12.75">
      <c r="A35" s="730"/>
      <c r="B35" s="731"/>
      <c r="C35" s="566" t="s">
        <v>746</v>
      </c>
      <c r="D35" s="27"/>
      <c r="E35" s="17"/>
      <c r="F35" s="17"/>
      <c r="G35" s="17"/>
      <c r="H35" s="17"/>
      <c r="I35" s="17"/>
    </row>
    <row r="36" spans="1:9" ht="12.75">
      <c r="A36" s="579" t="s">
        <v>128</v>
      </c>
      <c r="B36" s="731"/>
      <c r="C36" s="566" t="s">
        <v>721</v>
      </c>
      <c r="D36" s="578" t="s">
        <v>753</v>
      </c>
      <c r="E36" s="17"/>
      <c r="F36" s="17"/>
      <c r="G36" s="17"/>
      <c r="H36" s="17"/>
      <c r="I36" s="17"/>
    </row>
    <row r="37" spans="1:9" ht="15">
      <c r="A37" s="579" t="s">
        <v>228</v>
      </c>
      <c r="B37" s="17"/>
      <c r="C37" s="566" t="s">
        <v>731</v>
      </c>
      <c r="D37" s="578" t="s">
        <v>752</v>
      </c>
      <c r="E37" s="17"/>
      <c r="F37" s="17"/>
      <c r="G37" s="17"/>
      <c r="H37" s="17"/>
      <c r="I37" s="17"/>
    </row>
    <row r="38" spans="1:9" ht="12.75">
      <c r="A38" s="579" t="s">
        <v>125</v>
      </c>
      <c r="B38" s="17"/>
      <c r="C38" s="566" t="s">
        <v>720</v>
      </c>
      <c r="D38" s="578" t="s">
        <v>751</v>
      </c>
      <c r="E38" s="17"/>
      <c r="F38" s="17"/>
      <c r="G38" s="17"/>
      <c r="H38" s="17"/>
      <c r="I38" s="17"/>
    </row>
    <row r="39" spans="1:22" ht="12.75">
      <c r="A39" s="579" t="s">
        <v>229</v>
      </c>
      <c r="B39" s="731" t="s">
        <v>5</v>
      </c>
      <c r="C39" s="566" t="s">
        <v>5</v>
      </c>
      <c r="D39" s="578" t="s">
        <v>754</v>
      </c>
      <c r="V39" s="110"/>
    </row>
    <row r="40" spans="1:4" ht="15">
      <c r="A40" s="579" t="s">
        <v>69</v>
      </c>
      <c r="B40" s="731"/>
      <c r="C40" s="566" t="s">
        <v>722</v>
      </c>
      <c r="D40" s="578" t="s">
        <v>755</v>
      </c>
    </row>
    <row r="41" spans="1:4" ht="12.75">
      <c r="A41" s="579" t="s">
        <v>73</v>
      </c>
      <c r="B41" s="731"/>
      <c r="C41" s="608" t="s">
        <v>14</v>
      </c>
      <c r="D41" s="578" t="s">
        <v>789</v>
      </c>
    </row>
    <row r="42" spans="1:4" ht="15">
      <c r="A42" s="579" t="s">
        <v>61</v>
      </c>
      <c r="B42" s="731"/>
      <c r="C42" s="609" t="s">
        <v>723</v>
      </c>
      <c r="D42" s="578" t="s">
        <v>756</v>
      </c>
    </row>
    <row r="43" spans="1:4" ht="17.25">
      <c r="A43" s="579" t="s">
        <v>102</v>
      </c>
      <c r="B43" s="731"/>
      <c r="C43" s="566" t="s">
        <v>724</v>
      </c>
      <c r="D43" s="578" t="s">
        <v>757</v>
      </c>
    </row>
    <row r="44" spans="1:4" ht="16.5">
      <c r="A44" s="579" t="s">
        <v>230</v>
      </c>
      <c r="B44" s="731" t="s">
        <v>732</v>
      </c>
      <c r="C44" s="566" t="s">
        <v>725</v>
      </c>
      <c r="D44" s="578" t="s">
        <v>759</v>
      </c>
    </row>
    <row r="45" spans="1:9" ht="12.75">
      <c r="A45" s="579" t="s">
        <v>231</v>
      </c>
      <c r="B45" s="731"/>
      <c r="C45" s="566" t="s">
        <v>4</v>
      </c>
      <c r="D45" s="578" t="s">
        <v>760</v>
      </c>
      <c r="E45" s="17"/>
      <c r="F45" s="17"/>
      <c r="G45" s="17"/>
      <c r="H45" s="17"/>
      <c r="I45" s="17"/>
    </row>
    <row r="46" spans="1:9" ht="15">
      <c r="A46" s="579" t="s">
        <v>232</v>
      </c>
      <c r="B46" s="731"/>
      <c r="C46" s="566" t="s">
        <v>14</v>
      </c>
      <c r="D46" s="578" t="s">
        <v>761</v>
      </c>
      <c r="E46" s="17"/>
      <c r="F46" s="17"/>
      <c r="G46" s="17"/>
      <c r="H46" s="17"/>
      <c r="I46" s="17"/>
    </row>
    <row r="47" spans="1:9" ht="16.5">
      <c r="A47" s="579" t="s">
        <v>233</v>
      </c>
      <c r="B47" s="731"/>
      <c r="C47" s="566" t="s">
        <v>726</v>
      </c>
      <c r="D47" s="578" t="s">
        <v>762</v>
      </c>
      <c r="E47" s="17"/>
      <c r="F47" s="17"/>
      <c r="G47" s="17"/>
      <c r="H47" s="17"/>
      <c r="I47" s="17"/>
    </row>
    <row r="48" spans="1:9" ht="15">
      <c r="A48" s="579" t="s">
        <v>68</v>
      </c>
      <c r="B48" s="731"/>
      <c r="C48" s="566" t="s">
        <v>727</v>
      </c>
      <c r="D48" s="578" t="s">
        <v>763</v>
      </c>
      <c r="E48" s="17"/>
      <c r="F48" s="17"/>
      <c r="G48" s="17"/>
      <c r="H48" s="17"/>
      <c r="I48" s="17"/>
    </row>
    <row r="49" spans="1:9" ht="15.75">
      <c r="A49" s="579" t="s">
        <v>72</v>
      </c>
      <c r="B49" s="731" t="s">
        <v>733</v>
      </c>
      <c r="C49" s="566" t="s">
        <v>725</v>
      </c>
      <c r="D49" s="578" t="s">
        <v>787</v>
      </c>
      <c r="E49" s="17"/>
      <c r="F49" s="17"/>
      <c r="G49" s="17"/>
      <c r="H49" s="17"/>
      <c r="I49" s="17"/>
    </row>
    <row r="50" spans="1:9" ht="12.75">
      <c r="A50" s="579" t="s">
        <v>76</v>
      </c>
      <c r="B50" s="731"/>
      <c r="C50" s="566" t="s">
        <v>4</v>
      </c>
      <c r="D50" s="578" t="s">
        <v>764</v>
      </c>
      <c r="E50" s="17"/>
      <c r="F50" s="17"/>
      <c r="G50" s="17"/>
      <c r="H50" s="17"/>
      <c r="I50" s="17"/>
    </row>
    <row r="51" spans="1:9" ht="12.75">
      <c r="A51" s="579" t="s">
        <v>234</v>
      </c>
      <c r="B51" s="731" t="s">
        <v>8</v>
      </c>
      <c r="C51" s="566" t="s">
        <v>728</v>
      </c>
      <c r="D51" s="578" t="s">
        <v>765</v>
      </c>
      <c r="E51" s="17"/>
      <c r="F51" s="17"/>
      <c r="G51" s="17"/>
      <c r="H51" s="17"/>
      <c r="I51" s="17"/>
    </row>
    <row r="52" spans="1:9" ht="12.75">
      <c r="A52" s="579" t="s">
        <v>70</v>
      </c>
      <c r="B52" s="731"/>
      <c r="C52" s="566" t="s">
        <v>18</v>
      </c>
      <c r="D52" s="578" t="s">
        <v>766</v>
      </c>
      <c r="E52" s="17"/>
      <c r="F52" s="17"/>
      <c r="G52" s="17"/>
      <c r="H52" s="17"/>
      <c r="I52" s="17"/>
    </row>
    <row r="53" spans="1:9" ht="15">
      <c r="A53" s="579" t="s">
        <v>77</v>
      </c>
      <c r="B53" s="731"/>
      <c r="C53" s="566" t="s">
        <v>14</v>
      </c>
      <c r="D53" s="578" t="s">
        <v>767</v>
      </c>
      <c r="E53" s="17"/>
      <c r="F53" s="17"/>
      <c r="G53" s="17"/>
      <c r="H53" s="17"/>
      <c r="I53" s="17"/>
    </row>
    <row r="54" spans="1:9" ht="16.5">
      <c r="A54" s="579" t="s">
        <v>235</v>
      </c>
      <c r="B54" s="731"/>
      <c r="C54" s="566" t="s">
        <v>729</v>
      </c>
      <c r="D54" s="578" t="s">
        <v>768</v>
      </c>
      <c r="E54" s="17"/>
      <c r="F54" s="17"/>
      <c r="G54" s="17"/>
      <c r="H54" s="17"/>
      <c r="I54" s="17"/>
    </row>
    <row r="55" spans="1:9" ht="15">
      <c r="A55" s="579" t="s">
        <v>71</v>
      </c>
      <c r="B55" s="731"/>
      <c r="C55" s="566" t="s">
        <v>727</v>
      </c>
      <c r="D55" s="578" t="s">
        <v>769</v>
      </c>
      <c r="E55" s="17"/>
      <c r="F55" s="17"/>
      <c r="G55" s="17"/>
      <c r="H55" s="17"/>
      <c r="I55" s="17"/>
    </row>
    <row r="56" spans="1:9" ht="12.75">
      <c r="A56" s="579" t="s">
        <v>236</v>
      </c>
      <c r="B56" s="731" t="s">
        <v>9</v>
      </c>
      <c r="C56" s="566" t="s">
        <v>730</v>
      </c>
      <c r="D56" s="578" t="s">
        <v>770</v>
      </c>
      <c r="E56" s="17"/>
      <c r="F56" s="17"/>
      <c r="G56" s="17"/>
      <c r="H56" s="17"/>
      <c r="I56" s="17"/>
    </row>
    <row r="57" spans="1:9" ht="12.75">
      <c r="A57" s="579" t="s">
        <v>74</v>
      </c>
      <c r="B57" s="731"/>
      <c r="C57" s="567" t="s">
        <v>19</v>
      </c>
      <c r="D57" s="578" t="s">
        <v>771</v>
      </c>
      <c r="E57" s="17"/>
      <c r="F57" s="17"/>
      <c r="G57" s="17"/>
      <c r="H57" s="17"/>
      <c r="I57" s="17"/>
    </row>
    <row r="58" spans="1:9" ht="12.75">
      <c r="A58" s="579" t="s">
        <v>237</v>
      </c>
      <c r="B58" s="731"/>
      <c r="C58" s="568"/>
      <c r="D58" s="578" t="s">
        <v>772</v>
      </c>
      <c r="E58" s="17"/>
      <c r="F58" s="17"/>
      <c r="G58" s="17"/>
      <c r="H58" s="17"/>
      <c r="I58" s="17"/>
    </row>
    <row r="59" spans="1:9" ht="12.75">
      <c r="A59" s="579" t="s">
        <v>75</v>
      </c>
      <c r="B59" s="17"/>
      <c r="C59" s="568" t="s">
        <v>97</v>
      </c>
      <c r="D59" s="578" t="s">
        <v>773</v>
      </c>
      <c r="E59" s="17"/>
      <c r="F59" s="17"/>
      <c r="G59" s="17"/>
      <c r="H59" s="17"/>
      <c r="I59" s="17"/>
    </row>
    <row r="60" spans="1:4" ht="12.75">
      <c r="A60" s="579" t="s">
        <v>238</v>
      </c>
      <c r="B60" s="731" t="s">
        <v>734</v>
      </c>
      <c r="C60" s="566" t="s">
        <v>725</v>
      </c>
      <c r="D60" s="578" t="s">
        <v>774</v>
      </c>
    </row>
    <row r="61" spans="1:9" ht="12.75">
      <c r="A61" s="579" t="s">
        <v>239</v>
      </c>
      <c r="B61" s="731"/>
      <c r="C61" s="566" t="s">
        <v>21</v>
      </c>
      <c r="D61" s="578" t="s">
        <v>775</v>
      </c>
      <c r="E61" s="17"/>
      <c r="F61" s="17"/>
      <c r="G61" s="17"/>
      <c r="H61" s="17"/>
      <c r="I61" s="17"/>
    </row>
    <row r="62" spans="1:9" ht="12.75">
      <c r="A62" s="579" t="s">
        <v>240</v>
      </c>
      <c r="B62" s="731"/>
      <c r="C62" s="566" t="s">
        <v>22</v>
      </c>
      <c r="D62" s="578" t="s">
        <v>776</v>
      </c>
      <c r="E62" s="17"/>
      <c r="F62" s="17"/>
      <c r="G62" s="17"/>
      <c r="H62" s="17"/>
      <c r="I62" s="17"/>
    </row>
    <row r="63" spans="1:9" ht="15">
      <c r="A63" s="579" t="s">
        <v>241</v>
      </c>
      <c r="B63" s="731"/>
      <c r="C63" s="566" t="s">
        <v>722</v>
      </c>
      <c r="D63" s="578" t="s">
        <v>777</v>
      </c>
      <c r="E63" s="17"/>
      <c r="F63" s="17"/>
      <c r="G63" s="17"/>
      <c r="H63" s="17"/>
      <c r="I63" s="17"/>
    </row>
    <row r="64" spans="1:9" ht="15">
      <c r="A64" s="579" t="s">
        <v>242</v>
      </c>
      <c r="B64" s="731"/>
      <c r="C64" s="566" t="s">
        <v>14</v>
      </c>
      <c r="D64" s="578" t="s">
        <v>778</v>
      </c>
      <c r="E64" s="17"/>
      <c r="F64" s="17"/>
      <c r="G64" s="17"/>
      <c r="H64" s="17"/>
      <c r="I64" s="17"/>
    </row>
    <row r="65" spans="1:9" ht="15">
      <c r="A65" s="579" t="s">
        <v>243</v>
      </c>
      <c r="B65" s="731" t="s">
        <v>735</v>
      </c>
      <c r="C65" s="566" t="s">
        <v>725</v>
      </c>
      <c r="D65" s="63" t="s">
        <v>779</v>
      </c>
      <c r="E65" s="17"/>
      <c r="F65" s="17"/>
      <c r="G65" s="17"/>
      <c r="H65" s="17"/>
      <c r="I65" s="17"/>
    </row>
    <row r="66" spans="1:9" ht="12.75">
      <c r="A66" s="579" t="s">
        <v>244</v>
      </c>
      <c r="B66" s="731"/>
      <c r="C66" s="2" t="s">
        <v>21</v>
      </c>
      <c r="D66" s="578" t="s">
        <v>780</v>
      </c>
      <c r="E66" s="17"/>
      <c r="F66" s="17"/>
      <c r="G66" s="17"/>
      <c r="H66" s="17"/>
      <c r="I66" s="17"/>
    </row>
    <row r="67" spans="1:9" ht="12.75">
      <c r="A67" s="579" t="s">
        <v>78</v>
      </c>
      <c r="B67" s="731"/>
      <c r="C67" s="2" t="s">
        <v>23</v>
      </c>
      <c r="D67" s="578" t="s">
        <v>781</v>
      </c>
      <c r="E67" s="17"/>
      <c r="F67" s="17"/>
      <c r="G67" s="17"/>
      <c r="H67" s="17"/>
      <c r="I67" s="17"/>
    </row>
    <row r="68" spans="1:9" ht="45" customHeight="1">
      <c r="A68" s="580" t="s">
        <v>79</v>
      </c>
      <c r="B68" s="569" t="s">
        <v>736</v>
      </c>
      <c r="C68" s="566" t="s">
        <v>21</v>
      </c>
      <c r="D68" s="63" t="s">
        <v>782</v>
      </c>
      <c r="E68" s="17"/>
      <c r="F68" s="17"/>
      <c r="G68" s="17"/>
      <c r="H68" s="17"/>
      <c r="I68" s="17"/>
    </row>
    <row r="69" spans="1:9" ht="12.75">
      <c r="A69" s="579" t="s">
        <v>80</v>
      </c>
      <c r="C69" s="568" t="s">
        <v>219</v>
      </c>
      <c r="D69" s="578" t="s">
        <v>783</v>
      </c>
      <c r="E69" s="17"/>
      <c r="F69" s="17"/>
      <c r="G69" s="17"/>
      <c r="H69" s="17"/>
      <c r="I69" s="17"/>
    </row>
    <row r="70" spans="1:4" ht="15">
      <c r="A70" s="579" t="s">
        <v>81</v>
      </c>
      <c r="B70" s="731" t="s">
        <v>10</v>
      </c>
      <c r="C70" s="566" t="s">
        <v>24</v>
      </c>
      <c r="D70" s="578" t="s">
        <v>784</v>
      </c>
    </row>
    <row r="71" spans="1:9" ht="12.75">
      <c r="A71" s="579" t="s">
        <v>82</v>
      </c>
      <c r="B71" s="731"/>
      <c r="C71" s="566" t="s">
        <v>25</v>
      </c>
      <c r="D71" s="27"/>
      <c r="E71" s="17"/>
      <c r="F71" s="17"/>
      <c r="G71" s="17"/>
      <c r="H71" s="17"/>
      <c r="I71" s="17"/>
    </row>
    <row r="72" spans="1:9" ht="12.75">
      <c r="A72" s="579" t="s">
        <v>245</v>
      </c>
      <c r="B72" s="731"/>
      <c r="C72" s="566" t="s">
        <v>26</v>
      </c>
      <c r="D72" s="27"/>
      <c r="E72" s="17"/>
      <c r="F72" s="17"/>
      <c r="G72" s="17"/>
      <c r="H72" s="17"/>
      <c r="I72" s="17"/>
    </row>
    <row r="73" spans="1:9" ht="12.75">
      <c r="A73" s="579" t="s">
        <v>246</v>
      </c>
      <c r="B73" s="731"/>
      <c r="C73" s="566" t="s">
        <v>27</v>
      </c>
      <c r="D73" s="27"/>
      <c r="E73" s="17"/>
      <c r="F73" s="17"/>
      <c r="G73" s="17"/>
      <c r="H73" s="17"/>
      <c r="I73" s="17"/>
    </row>
    <row r="74" spans="1:9" ht="12.75">
      <c r="A74" s="579" t="s">
        <v>247</v>
      </c>
      <c r="B74" s="731"/>
      <c r="C74" s="566" t="s">
        <v>28</v>
      </c>
      <c r="D74" s="27"/>
      <c r="E74" s="17"/>
      <c r="F74" s="17"/>
      <c r="G74" s="17"/>
      <c r="H74" s="17"/>
      <c r="I74" s="17"/>
    </row>
    <row r="75" spans="1:9" ht="15">
      <c r="A75" s="579" t="s">
        <v>248</v>
      </c>
      <c r="B75" s="731" t="s">
        <v>391</v>
      </c>
      <c r="C75" s="566" t="s">
        <v>725</v>
      </c>
      <c r="D75" s="578" t="s">
        <v>785</v>
      </c>
      <c r="E75" s="17"/>
      <c r="F75" s="17"/>
      <c r="G75" s="17"/>
      <c r="H75" s="17"/>
      <c r="I75" s="17"/>
    </row>
    <row r="76" spans="1:9" ht="12.75">
      <c r="A76" s="579" t="s">
        <v>249</v>
      </c>
      <c r="B76" s="731"/>
      <c r="C76" s="566" t="s">
        <v>4</v>
      </c>
      <c r="D76" s="578" t="s">
        <v>786</v>
      </c>
      <c r="E76" s="17"/>
      <c r="F76" s="17"/>
      <c r="G76" s="17"/>
      <c r="H76" s="17"/>
      <c r="I76" s="17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17"/>
    </row>
  </sheetData>
  <sheetProtection sheet="1" objects="1" scenarios="1"/>
  <mergeCells count="13">
    <mergeCell ref="B39:B43"/>
    <mergeCell ref="B44:B48"/>
    <mergeCell ref="B49:B50"/>
    <mergeCell ref="B75:B76"/>
    <mergeCell ref="B70:B74"/>
    <mergeCell ref="B65:B67"/>
    <mergeCell ref="B51:B55"/>
    <mergeCell ref="B56:B58"/>
    <mergeCell ref="B60:B64"/>
    <mergeCell ref="A30:A31"/>
    <mergeCell ref="A32:A33"/>
    <mergeCell ref="A34:A35"/>
    <mergeCell ref="B30:B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AY214"/>
  <sheetViews>
    <sheetView zoomScale="85" zoomScaleNormal="85" workbookViewId="0" topLeftCell="A1">
      <pane xSplit="7" ySplit="4" topLeftCell="H2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46" sqref="E46"/>
    </sheetView>
  </sheetViews>
  <sheetFormatPr defaultColWidth="9.140625" defaultRowHeight="12.75"/>
  <cols>
    <col min="1" max="1" width="11.8515625" style="0" customWidth="1"/>
    <col min="2" max="2" width="12.8515625" style="0" hidden="1" customWidth="1"/>
    <col min="3" max="3" width="9.57421875" style="0" customWidth="1"/>
    <col min="4" max="4" width="13.140625" style="0" customWidth="1"/>
    <col min="5" max="5" width="12.7109375" style="0" customWidth="1"/>
    <col min="6" max="6" width="15.7109375" style="0" customWidth="1"/>
    <col min="7" max="7" width="12.57421875" style="0" customWidth="1"/>
    <col min="8" max="8" width="11.28125" style="0" customWidth="1"/>
    <col min="9" max="9" width="9.57421875" style="0" customWidth="1"/>
    <col min="10" max="10" width="11.140625" style="0" customWidth="1"/>
    <col min="11" max="11" width="13.7109375" style="0" customWidth="1"/>
    <col min="12" max="12" width="12.8515625" style="0" customWidth="1"/>
    <col min="13" max="13" width="8.7109375" style="0" customWidth="1"/>
    <col min="14" max="15" width="11.28125" style="0" customWidth="1"/>
    <col min="16" max="16" width="10.7109375" style="0" customWidth="1"/>
    <col min="17" max="18" width="9.8515625" style="0" customWidth="1"/>
    <col min="19" max="19" width="11.00390625" style="0" customWidth="1"/>
    <col min="20" max="20" width="10.28125" style="0" customWidth="1"/>
    <col min="21" max="21" width="10.140625" style="0" customWidth="1"/>
    <col min="22" max="23" width="11.00390625" style="0" customWidth="1"/>
    <col min="24" max="24" width="9.7109375" style="0" customWidth="1"/>
    <col min="25" max="25" width="10.28125" style="0" customWidth="1"/>
    <col min="26" max="27" width="9.8515625" style="0" customWidth="1"/>
    <col min="28" max="29" width="12.00390625" style="0" customWidth="1"/>
    <col min="30" max="30" width="9.8515625" style="0" bestFit="1" customWidth="1"/>
    <col min="32" max="33" width="9.8515625" style="0" customWidth="1"/>
    <col min="34" max="34" width="13.00390625" style="0" customWidth="1"/>
    <col min="36" max="36" width="10.7109375" style="0" customWidth="1"/>
    <col min="37" max="37" width="6.28125" style="0" customWidth="1"/>
    <col min="38" max="38" width="11.00390625" style="0" customWidth="1"/>
    <col min="39" max="39" width="7.7109375" style="0" customWidth="1"/>
    <col min="40" max="40" width="9.8515625" style="0" bestFit="1" customWidth="1"/>
    <col min="41" max="41" width="13.7109375" style="0" customWidth="1"/>
    <col min="42" max="42" width="9.8515625" style="0" customWidth="1"/>
    <col min="43" max="43" width="14.28125" style="0" customWidth="1"/>
    <col min="44" max="44" width="11.8515625" style="0" customWidth="1"/>
    <col min="45" max="45" width="12.57421875" style="0" customWidth="1"/>
    <col min="46" max="46" width="14.57421875" style="0" customWidth="1"/>
    <col min="47" max="47" width="11.8515625" style="0" customWidth="1"/>
    <col min="48" max="48" width="10.7109375" style="0" customWidth="1"/>
    <col min="49" max="49" width="9.28125" style="0" customWidth="1"/>
    <col min="50" max="50" width="7.57421875" style="0" customWidth="1"/>
    <col min="51" max="51" width="6.421875" style="0" customWidth="1"/>
  </cols>
  <sheetData>
    <row r="1" spans="1:51" ht="18" customHeight="1">
      <c r="A1" s="104" t="s">
        <v>0</v>
      </c>
      <c r="B1" s="105" t="s">
        <v>1</v>
      </c>
      <c r="C1" s="108"/>
      <c r="G1" s="106"/>
      <c r="H1" s="755" t="s">
        <v>2</v>
      </c>
      <c r="I1" s="755"/>
      <c r="J1" s="755"/>
      <c r="K1" s="747"/>
      <c r="L1" s="107" t="s">
        <v>3</v>
      </c>
      <c r="M1" s="109" t="s">
        <v>4</v>
      </c>
      <c r="N1" s="746" t="s">
        <v>5</v>
      </c>
      <c r="O1" s="755"/>
      <c r="P1" s="755"/>
      <c r="Q1" s="755"/>
      <c r="R1" s="756"/>
      <c r="S1" s="748" t="s">
        <v>6</v>
      </c>
      <c r="T1" s="750"/>
      <c r="U1" s="750"/>
      <c r="V1" s="750"/>
      <c r="W1" s="750"/>
      <c r="X1" s="746" t="s">
        <v>7</v>
      </c>
      <c r="Y1" s="747"/>
      <c r="Z1" s="751" t="s">
        <v>8</v>
      </c>
      <c r="AA1" s="755"/>
      <c r="AB1" s="755"/>
      <c r="AC1" s="755"/>
      <c r="AD1" s="755"/>
      <c r="AE1" s="746" t="s">
        <v>9</v>
      </c>
      <c r="AF1" s="755"/>
      <c r="AG1" s="108"/>
      <c r="AH1" s="753" t="s">
        <v>97</v>
      </c>
      <c r="AI1" s="746" t="s">
        <v>556</v>
      </c>
      <c r="AJ1" s="757"/>
      <c r="AK1" s="757"/>
      <c r="AL1" s="757"/>
      <c r="AM1" s="758"/>
      <c r="AN1" s="751" t="s">
        <v>354</v>
      </c>
      <c r="AO1" s="752"/>
      <c r="AP1" s="752"/>
      <c r="AQ1" s="107" t="s">
        <v>220</v>
      </c>
      <c r="AR1" s="748" t="s">
        <v>219</v>
      </c>
      <c r="AS1" s="782" t="s">
        <v>813</v>
      </c>
      <c r="AT1" s="748" t="s">
        <v>10</v>
      </c>
      <c r="AU1" s="750"/>
      <c r="AV1" s="749"/>
      <c r="AW1" s="748" t="s">
        <v>391</v>
      </c>
      <c r="AX1" s="749"/>
      <c r="AY1" s="111"/>
    </row>
    <row r="2" spans="1:51" ht="18">
      <c r="A2" s="112" t="s">
        <v>11</v>
      </c>
      <c r="B2" s="109" t="s">
        <v>12</v>
      </c>
      <c r="G2" s="3"/>
      <c r="H2" s="108" t="s">
        <v>210</v>
      </c>
      <c r="I2" s="108" t="s">
        <v>211</v>
      </c>
      <c r="J2" s="108" t="s">
        <v>217</v>
      </c>
      <c r="K2" s="109" t="s">
        <v>215</v>
      </c>
      <c r="L2" s="107" t="s">
        <v>216</v>
      </c>
      <c r="M2" s="109" t="s">
        <v>13</v>
      </c>
      <c r="N2" s="108" t="s">
        <v>5</v>
      </c>
      <c r="O2" s="108" t="s">
        <v>624</v>
      </c>
      <c r="P2" s="108" t="s">
        <v>14</v>
      </c>
      <c r="Q2" s="108" t="s">
        <v>15</v>
      </c>
      <c r="R2" s="108" t="s">
        <v>316</v>
      </c>
      <c r="S2" s="107" t="s">
        <v>212</v>
      </c>
      <c r="T2" s="108" t="s">
        <v>4</v>
      </c>
      <c r="U2" s="108" t="s">
        <v>14</v>
      </c>
      <c r="V2" s="108" t="s">
        <v>16</v>
      </c>
      <c r="W2" s="108" t="s">
        <v>17</v>
      </c>
      <c r="X2" s="107" t="s">
        <v>212</v>
      </c>
      <c r="Y2" s="109" t="s">
        <v>4</v>
      </c>
      <c r="Z2" s="108" t="s">
        <v>213</v>
      </c>
      <c r="AA2" s="108" t="s">
        <v>18</v>
      </c>
      <c r="AB2" s="108" t="s">
        <v>14</v>
      </c>
      <c r="AC2" s="108" t="s">
        <v>209</v>
      </c>
      <c r="AD2" s="108" t="s">
        <v>17</v>
      </c>
      <c r="AE2" s="107" t="s">
        <v>214</v>
      </c>
      <c r="AF2" s="110" t="s">
        <v>19</v>
      </c>
      <c r="AG2" s="110"/>
      <c r="AH2" s="754"/>
      <c r="AI2" s="108" t="s">
        <v>212</v>
      </c>
      <c r="AJ2" s="108" t="s">
        <v>21</v>
      </c>
      <c r="AK2" s="108" t="s">
        <v>22</v>
      </c>
      <c r="AL2" s="108" t="s">
        <v>624</v>
      </c>
      <c r="AM2" s="109" t="s">
        <v>14</v>
      </c>
      <c r="AN2" s="108" t="s">
        <v>212</v>
      </c>
      <c r="AO2" s="108" t="s">
        <v>21</v>
      </c>
      <c r="AP2" s="108" t="s">
        <v>23</v>
      </c>
      <c r="AQ2" s="107" t="s">
        <v>21</v>
      </c>
      <c r="AR2" s="777"/>
      <c r="AS2" s="783"/>
      <c r="AT2" s="107" t="s">
        <v>24</v>
      </c>
      <c r="AU2" s="108" t="s">
        <v>25</v>
      </c>
      <c r="AV2" s="109" t="s">
        <v>26</v>
      </c>
      <c r="AW2" s="107" t="s">
        <v>212</v>
      </c>
      <c r="AX2" s="109" t="s">
        <v>4</v>
      </c>
      <c r="AY2" s="111"/>
    </row>
    <row r="3" spans="1:51" ht="15" thickBot="1">
      <c r="A3" s="423"/>
      <c r="B3" s="115"/>
      <c r="C3" s="120"/>
      <c r="D3" s="120"/>
      <c r="E3" s="120"/>
      <c r="F3" s="120"/>
      <c r="G3" s="114"/>
      <c r="H3" s="115" t="s">
        <v>29</v>
      </c>
      <c r="I3" s="115" t="s">
        <v>29</v>
      </c>
      <c r="J3" s="115" t="s">
        <v>29</v>
      </c>
      <c r="K3" s="116" t="s">
        <v>29</v>
      </c>
      <c r="L3" s="117" t="s">
        <v>31</v>
      </c>
      <c r="M3" s="116" t="s">
        <v>31</v>
      </c>
      <c r="N3" s="115" t="s">
        <v>32</v>
      </c>
      <c r="O3" s="115" t="s">
        <v>625</v>
      </c>
      <c r="P3" s="115" t="s">
        <v>40</v>
      </c>
      <c r="Q3" s="115" t="s">
        <v>34</v>
      </c>
      <c r="R3" s="115" t="s">
        <v>218</v>
      </c>
      <c r="S3" s="117" t="s">
        <v>35</v>
      </c>
      <c r="T3" s="115" t="s">
        <v>35</v>
      </c>
      <c r="U3" s="115" t="s">
        <v>36</v>
      </c>
      <c r="V3" s="115" t="s">
        <v>37</v>
      </c>
      <c r="W3" s="115" t="s">
        <v>38</v>
      </c>
      <c r="X3" s="117" t="s">
        <v>39</v>
      </c>
      <c r="Y3" s="116" t="s">
        <v>39</v>
      </c>
      <c r="Z3" s="115" t="s">
        <v>32</v>
      </c>
      <c r="AA3" s="115" t="s">
        <v>32</v>
      </c>
      <c r="AB3" s="115" t="s">
        <v>40</v>
      </c>
      <c r="AC3" s="115" t="s">
        <v>218</v>
      </c>
      <c r="AD3" s="115" t="s">
        <v>34</v>
      </c>
      <c r="AE3" s="117"/>
      <c r="AF3" s="115"/>
      <c r="AG3" s="115"/>
      <c r="AH3" s="116" t="s">
        <v>41</v>
      </c>
      <c r="AI3" s="115" t="s">
        <v>32</v>
      </c>
      <c r="AJ3" s="115" t="s">
        <v>32</v>
      </c>
      <c r="AK3" s="115" t="s">
        <v>41</v>
      </c>
      <c r="AL3" s="115" t="s">
        <v>626</v>
      </c>
      <c r="AM3" s="116" t="s">
        <v>40</v>
      </c>
      <c r="AN3" s="117" t="s">
        <v>42</v>
      </c>
      <c r="AO3" s="115" t="s">
        <v>42</v>
      </c>
      <c r="AP3" s="115" t="s">
        <v>41</v>
      </c>
      <c r="AQ3" s="117" t="s">
        <v>218</v>
      </c>
      <c r="AR3" s="117" t="s">
        <v>811</v>
      </c>
      <c r="AS3" s="116" t="s">
        <v>812</v>
      </c>
      <c r="AT3" s="392"/>
      <c r="AU3" s="485"/>
      <c r="AV3" s="467"/>
      <c r="AW3" s="392" t="s">
        <v>43</v>
      </c>
      <c r="AX3" s="467"/>
      <c r="AY3" s="120"/>
    </row>
    <row r="4" spans="1:51" ht="18" customHeight="1" thickBot="1">
      <c r="A4" s="423"/>
      <c r="B4" s="115"/>
      <c r="C4" s="524"/>
      <c r="D4" s="524"/>
      <c r="E4" s="524"/>
      <c r="F4" s="524"/>
      <c r="G4" s="4"/>
      <c r="H4" s="113"/>
      <c r="I4" s="113"/>
      <c r="J4" s="268"/>
      <c r="K4" s="113"/>
      <c r="L4" s="153"/>
      <c r="M4" s="424"/>
      <c r="N4" s="425"/>
      <c r="O4" s="425"/>
      <c r="P4" s="113"/>
      <c r="Q4" s="169"/>
      <c r="R4" s="169"/>
      <c r="S4" s="113"/>
      <c r="T4" s="113"/>
      <c r="U4" s="113"/>
      <c r="V4" s="113"/>
      <c r="W4" s="113"/>
      <c r="X4" s="426"/>
      <c r="Y4" s="113"/>
      <c r="Z4" s="113"/>
      <c r="AA4" s="427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76"/>
      <c r="AQ4" s="428"/>
      <c r="AR4" s="428"/>
      <c r="AS4" s="778"/>
      <c r="AT4" s="692"/>
      <c r="AU4" s="121"/>
      <c r="AV4" s="693"/>
      <c r="AW4" s="583"/>
      <c r="AX4" s="429"/>
      <c r="AY4" s="111"/>
    </row>
    <row r="5" spans="1:51" ht="13.5" thickBot="1">
      <c r="A5" s="255"/>
      <c r="B5" s="108"/>
      <c r="C5" s="643" t="s">
        <v>804</v>
      </c>
      <c r="D5" s="735"/>
      <c r="E5" s="735"/>
      <c r="F5" s="736"/>
      <c r="G5" s="194"/>
      <c r="H5" s="119"/>
      <c r="I5" s="120"/>
      <c r="J5" s="150"/>
      <c r="K5" s="106"/>
      <c r="L5" s="139"/>
      <c r="M5" s="377"/>
      <c r="N5" s="421"/>
      <c r="O5" s="421"/>
      <c r="P5" s="120"/>
      <c r="Q5" s="166"/>
      <c r="R5" s="166"/>
      <c r="S5" s="119"/>
      <c r="T5" s="120"/>
      <c r="U5" s="120"/>
      <c r="V5" s="119"/>
      <c r="W5" s="120"/>
      <c r="X5" s="22"/>
      <c r="Y5" s="106"/>
      <c r="Z5" s="120"/>
      <c r="AA5" s="422"/>
      <c r="AB5" s="120"/>
      <c r="AC5" s="120"/>
      <c r="AD5" s="120"/>
      <c r="AE5" s="119"/>
      <c r="AF5" s="120"/>
      <c r="AG5" s="120"/>
      <c r="AH5" s="106"/>
      <c r="AI5" s="120"/>
      <c r="AJ5" s="120"/>
      <c r="AK5" s="120"/>
      <c r="AL5" s="120"/>
      <c r="AM5" s="106"/>
      <c r="AN5" s="119"/>
      <c r="AO5" s="120"/>
      <c r="AP5" s="167"/>
      <c r="AQ5" s="133"/>
      <c r="AR5" s="133"/>
      <c r="AS5" s="781"/>
      <c r="AT5" s="180"/>
      <c r="AU5" s="120"/>
      <c r="AV5" s="191"/>
      <c r="AW5" s="582"/>
      <c r="AX5" s="184"/>
      <c r="AY5" s="111"/>
    </row>
    <row r="6" spans="1:51" ht="12.75">
      <c r="A6" s="414"/>
      <c r="B6" s="194"/>
      <c r="C6" s="448"/>
      <c r="D6" s="194"/>
      <c r="E6" s="194"/>
      <c r="F6" s="390"/>
      <c r="G6" s="194"/>
      <c r="H6" s="119"/>
      <c r="I6" s="144"/>
      <c r="J6" s="120"/>
      <c r="K6" s="106"/>
      <c r="L6" s="119"/>
      <c r="M6" s="106"/>
      <c r="N6" s="415"/>
      <c r="O6" s="415"/>
      <c r="P6" s="416"/>
      <c r="Q6" s="416"/>
      <c r="R6" s="416"/>
      <c r="S6" s="119"/>
      <c r="T6" s="120"/>
      <c r="U6" s="416"/>
      <c r="V6" s="417"/>
      <c r="W6" s="416"/>
      <c r="X6" s="22"/>
      <c r="Y6" s="106"/>
      <c r="Z6" s="120"/>
      <c r="AA6" s="416"/>
      <c r="AB6" s="416"/>
      <c r="AC6" s="120"/>
      <c r="AD6" s="416"/>
      <c r="AE6" s="119"/>
      <c r="AF6" s="416"/>
      <c r="AG6" s="416"/>
      <c r="AH6" s="418"/>
      <c r="AI6" s="120"/>
      <c r="AJ6" s="416"/>
      <c r="AK6" s="419"/>
      <c r="AL6" s="419"/>
      <c r="AM6" s="420"/>
      <c r="AN6" s="119"/>
      <c r="AO6" s="416"/>
      <c r="AP6" s="419"/>
      <c r="AQ6" s="417"/>
      <c r="AR6" s="417"/>
      <c r="AS6" s="420"/>
      <c r="AT6" s="52"/>
      <c r="AU6" s="416"/>
      <c r="AV6" s="694"/>
      <c r="AW6" s="119"/>
      <c r="AX6" s="420"/>
      <c r="AY6" s="111"/>
    </row>
    <row r="7" spans="1:51" ht="12.75">
      <c r="A7" s="129">
        <v>6.000000000000001E-05</v>
      </c>
      <c r="B7" s="144">
        <f aca="true" t="shared" si="0" ref="B7:B40">2*PI()*A7</f>
        <v>0.00037699111843077525</v>
      </c>
      <c r="C7" s="448"/>
      <c r="D7" s="386" t="b">
        <v>1</v>
      </c>
      <c r="E7" s="241" t="s">
        <v>364</v>
      </c>
      <c r="F7" s="297"/>
      <c r="H7" s="119" t="str">
        <f>IMDIV(COMPLEX(0,$D$15*$D$23*$B7,"j"),COMPLEX(1,$B7*$D$16*$D$15*$D$23,"j"))</f>
        <v>1.8E-021+6E-012j</v>
      </c>
      <c r="I7" s="145">
        <f>$D$23/$D$20</f>
        <v>1E-05</v>
      </c>
      <c r="J7" s="150" t="str">
        <f>IMDIV(IF($D$12,$D$52/$D$19,$D$53)/$D$21,COMPLEX(1,$B7*IF($D$12,$D$52,$D$53*$D$19)*$D$17,"j"))</f>
        <v>4.1303511501942E-003-1.55710569962355E-002j</v>
      </c>
      <c r="K7" s="106" t="str">
        <f>IMSUM(IF($D$9,$H7,0),IF($D$7,$I7,0),IF($D$8,$J7,0))</f>
        <v>4.1403511501942E-003-1.55710569902355E-002j</v>
      </c>
      <c r="L7" s="139" t="str">
        <f>IMPRODUCT($D$22,$K7)</f>
        <v>1.65614046007768E-003-6.2284227960942E-003j</v>
      </c>
      <c r="M7" s="377">
        <f>IMABS($L7)</f>
        <v>0.006444846914428007</v>
      </c>
      <c r="N7" s="128">
        <f aca="true" t="shared" si="1" ref="N7:N38">1/$M7</f>
        <v>155.162723533636</v>
      </c>
      <c r="O7" s="498">
        <f aca="true" t="shared" si="2" ref="O7:O38">$N7/$B7</f>
        <v>411581.90723298874</v>
      </c>
      <c r="P7" s="111">
        <f aca="true" t="shared" si="3" ref="P7:P38">$N7*$D$24</f>
        <v>0.31032544706727205</v>
      </c>
      <c r="Q7" s="141">
        <f aca="true" t="shared" si="4" ref="Q7:Q38">+$N7*$D$24*$B7</f>
        <v>0.00011698993736742123</v>
      </c>
      <c r="R7" s="141">
        <f aca="true" t="shared" si="5" ref="R7:R38">Q7*B7</f>
        <v>4.410416733329048E-08</v>
      </c>
      <c r="S7" s="119" t="str">
        <f>IMDIV(1/$D$37,COMPLEX(1-$B7*$B7*$D$40*$D$40,$B7*2*$D$26*$D$40,"j"))</f>
        <v>5.06605918212418E-003-1.21585420371155E-010j</v>
      </c>
      <c r="T7" s="111">
        <f>IMABS($S7)</f>
        <v>0.005066059182124181</v>
      </c>
      <c r="U7" s="111">
        <f aca="true" t="shared" si="6" ref="U7:U38">$T7*$D$24</f>
        <v>1.0132118364248362E-05</v>
      </c>
      <c r="V7" s="119">
        <f aca="true" t="shared" si="7" ref="V7:V38">$T7*$D$24*$B7*$B7</f>
        <v>1.4400000000020731E-12</v>
      </c>
      <c r="W7" s="120">
        <f aca="true" t="shared" si="8" ref="W7:W38">$T7*$D$24*$B7</f>
        <v>3.819718634210987E-09</v>
      </c>
      <c r="X7" s="22" t="str">
        <f>IMPRODUCT(IMDIV($D$28,COMPLEX(1,$B7*$D$29,"j")),$AW7)</f>
        <v>5000000000</v>
      </c>
      <c r="Y7" s="106">
        <f>IMABS($X7)</f>
        <v>5000000000</v>
      </c>
      <c r="Z7" s="120" t="str">
        <f>IMPRODUCT($S7,$X7)</f>
        <v>25330295.9106209-0.607927101855775j</v>
      </c>
      <c r="AA7" s="197">
        <f>IMABS($Z7)</f>
        <v>25330295.91062091</v>
      </c>
      <c r="AB7" s="111">
        <f aca="true" t="shared" si="9" ref="AB7:AB38">$AA7*$D$24</f>
        <v>50660.59182124182</v>
      </c>
      <c r="AC7" s="111">
        <f aca="true" t="shared" si="10" ref="AC7:AC38">AA7*$D$24*B7*B7</f>
        <v>0.007200000000010367</v>
      </c>
      <c r="AD7" s="120">
        <f aca="true" t="shared" si="11" ref="AD7:AD38">$AA7*$D$24*$B7</f>
        <v>19.098593171054937</v>
      </c>
      <c r="AE7" s="119" t="str">
        <f>IMPRODUCT($L7,$Z7)</f>
        <v>41950.5241368925-157767.793488336j</v>
      </c>
      <c r="AF7" s="111">
        <f>IMABS($AE7)</f>
        <v>163249.8794411139</v>
      </c>
      <c r="AG7" s="111">
        <f>ABS(AF7-1)</f>
        <v>163248.8794411139</v>
      </c>
      <c r="AH7" s="106">
        <f>IF(AND(IMREAL(AE7)&lt;0,IMAGINARY(AE7)&gt;0),180/PI()*IMARGUMENT($AE7)-360,180/PI()*IMARGUMENT($AE7))</f>
        <v>-75.10957809559282</v>
      </c>
      <c r="AI7" s="111" t="str">
        <f>IMDIV($Z7,IMSUM(1,IMPRODUCT($Z7,$L7)))</f>
        <v>39.8731861762818+149.95173891483j</v>
      </c>
      <c r="AJ7" s="111">
        <f>IMABS($AI7)</f>
        <v>155.1624792900325</v>
      </c>
      <c r="AK7" s="120">
        <f>180/PI()*IMARGUMENT($AI7)</f>
        <v>75.10923753711545</v>
      </c>
      <c r="AL7" s="144">
        <f aca="true" t="shared" si="12" ref="AL7:AL38">$AJ7/$B7</f>
        <v>411581.2593567085</v>
      </c>
      <c r="AM7" s="106">
        <f aca="true" t="shared" si="13" ref="AM7:AM38">$AJ7*$D$24</f>
        <v>0.31032495858006504</v>
      </c>
      <c r="AN7" s="119" t="str">
        <f>IMPRODUCT($AI7,COMPLEX(0,$B7,"j"),$D$24)</f>
        <v>-1.13060947528283E-004+3.006367410399E-005j</v>
      </c>
      <c r="AO7" s="111">
        <f>IMABS(AN7)</f>
        <v>0.000116989753212083</v>
      </c>
      <c r="AP7" s="132">
        <f>180/PI()*IMARGUMENT($AN7)</f>
        <v>165.1092375371155</v>
      </c>
      <c r="AQ7" s="133">
        <f aca="true" t="shared" si="14" ref="AQ7:AQ38">AJ7*$D$24*B7*B7</f>
        <v>4.410409790836345E-08</v>
      </c>
      <c r="AR7" s="133">
        <f>U7/(AF7+1)*9.802</f>
        <v>6.083582798840988E-10</v>
      </c>
      <c r="AS7" s="779">
        <f>0.0000003/AR7</f>
        <v>493.1304626233646</v>
      </c>
      <c r="AT7" s="143">
        <f>B7*$D$19*$D$21*$D$24*$D$17/$D$22</f>
        <v>0.3000000000000001</v>
      </c>
      <c r="AU7" s="120">
        <f>$D$24*$D$20/($D$22*$D$23)</f>
        <v>500</v>
      </c>
      <c r="AV7" s="130">
        <f>$D$24/(B7*$D$15*$D$22*$D$23)</f>
        <v>833333333.3333333</v>
      </c>
      <c r="AW7" s="582" t="str">
        <f>IF($D$10,IMDIV(COMPLEX(1,$B7/$D$49,"j"),COMPLEX(1,$B7/$D$50,"j")),COMPLEX(1,0,"j"))</f>
        <v>1</v>
      </c>
      <c r="AX7" s="184">
        <f>IMABS(AW7)</f>
        <v>1</v>
      </c>
      <c r="AY7" s="111"/>
    </row>
    <row r="8" spans="1:51" ht="15" customHeight="1">
      <c r="A8" s="129">
        <v>7E-05</v>
      </c>
      <c r="B8" s="144">
        <f t="shared" si="0"/>
        <v>0.000439822971502571</v>
      </c>
      <c r="C8" s="448"/>
      <c r="D8" s="386" t="b">
        <v>1</v>
      </c>
      <c r="E8" s="241" t="s">
        <v>365</v>
      </c>
      <c r="F8" s="297"/>
      <c r="H8" s="119" t="str">
        <f>IMDIV(COMPLEX(0,$D$15*$D$23*$B8,"j"),COMPLEX(1,$B8*$D$16*$D$15*$D$23,"j"))</f>
        <v>2.45E-021+7E-012j</v>
      </c>
      <c r="I8" s="145">
        <f aca="true" t="shared" si="15" ref="I8:I71">$D$23/$D$20</f>
        <v>1E-05</v>
      </c>
      <c r="J8" s="150" t="str">
        <f>IMDIV(IF($D$12,$D$52/$D$19,$D$53)/$D$21,COMPLEX(1,$B8*IF($D$12,$D$52,$D$53*$D$19)*$D$17,"j"))</f>
        <v>3.08840649103833E-003-1.35835212009631E-002j</v>
      </c>
      <c r="K8" s="106" t="str">
        <f>IMSUM(IF($D$9,$H8,0),IF($D$7,$I8,0),IF($D$8,$J8,0))</f>
        <v>3.09840649103833E-003-1.35835211939631E-002j</v>
      </c>
      <c r="L8" s="139" t="str">
        <f>IMPRODUCT($D$22,$K8)</f>
        <v>1.23936259641533E-003-5.43340847758524E-003j</v>
      </c>
      <c r="M8" s="377">
        <f>IMABS($L8)</f>
        <v>0.0055729657570891735</v>
      </c>
      <c r="N8" s="128">
        <f t="shared" si="1"/>
        <v>179.4376717150891</v>
      </c>
      <c r="O8" s="498">
        <f t="shared" si="2"/>
        <v>407977.03471938864</v>
      </c>
      <c r="P8" s="111">
        <f t="shared" si="3"/>
        <v>0.3588753434301782</v>
      </c>
      <c r="Q8" s="141">
        <f t="shared" si="4"/>
        <v>0.00015784161994646665</v>
      </c>
      <c r="R8" s="141">
        <f t="shared" si="5"/>
        <v>6.942237031163445E-08</v>
      </c>
      <c r="S8" s="119" t="str">
        <f>IMDIV(1/$D$37,COMPLEX(1-$B8*$B8*$D$40*$D$40,$B8*2*$D$26*$D$40,"j"))</f>
        <v>5.06605918212681E-003-1.41849657099829E-010j</v>
      </c>
      <c r="T8" s="111">
        <f>IMABS($S8)</f>
        <v>0.005066059182126812</v>
      </c>
      <c r="U8" s="111">
        <f t="shared" si="6"/>
        <v>1.0132118364253625E-05</v>
      </c>
      <c r="V8" s="119">
        <f t="shared" si="7"/>
        <v>1.960000000003839E-12</v>
      </c>
      <c r="W8" s="120">
        <f t="shared" si="8"/>
        <v>4.456338406581799E-09</v>
      </c>
      <c r="X8" s="22" t="str">
        <f>IMPRODUCT(IMDIV($D$28,COMPLEX(1,$B8*$D$29,"j")),$AW8)</f>
        <v>5000000000</v>
      </c>
      <c r="Y8" s="106">
        <f>IMABS($X8)</f>
        <v>5000000000</v>
      </c>
      <c r="Z8" s="120" t="str">
        <f>IMPRODUCT($S8,$X8)</f>
        <v>25330295.910634-0.709248285499145j</v>
      </c>
      <c r="AA8" s="197">
        <f>IMABS($Z8)</f>
        <v>25330295.91063401</v>
      </c>
      <c r="AB8" s="111">
        <f t="shared" si="9"/>
        <v>50660.591821268026</v>
      </c>
      <c r="AC8" s="111">
        <f t="shared" si="10"/>
        <v>0.009800000000019177</v>
      </c>
      <c r="AD8" s="120">
        <f t="shared" si="11"/>
        <v>22.28169203290895</v>
      </c>
      <c r="AE8" s="119" t="str">
        <f>IMPRODUCT($L8,$Z8)</f>
        <v>31393.4174541363-137629.845419597j</v>
      </c>
      <c r="AF8" s="111">
        <f>IMABS($AE8)</f>
        <v>141164.87172689897</v>
      </c>
      <c r="AG8" s="111">
        <f>ABS(AF8-1)</f>
        <v>141163.87172689897</v>
      </c>
      <c r="AH8" s="106">
        <f>IF(AND(IMREAL(AE8)&lt;0,IMAGINARY(AE8)&gt;0),180/PI()*IMARGUMENT($AE8)-360,180/PI()*IMARGUMENT($AE8))</f>
        <v>-77.15065114894128</v>
      </c>
      <c r="AI8" s="111" t="str">
        <f>IMDIV($Z8,IMSUM(1,IMPRODUCT($Z8,$L8)))</f>
        <v>39.9059911000587+174.94367223702j</v>
      </c>
      <c r="AJ8" s="111">
        <f>IMABS($AI8)</f>
        <v>179.43738902874128</v>
      </c>
      <c r="AK8" s="120">
        <f>180/PI()*IMARGUMENT($AI8)</f>
        <v>77.15025383076956</v>
      </c>
      <c r="AL8" s="144">
        <f t="shared" si="12"/>
        <v>407976.3919918229</v>
      </c>
      <c r="AM8" s="106">
        <f t="shared" si="13"/>
        <v>0.3588747780574826</v>
      </c>
      <c r="AN8" s="119" t="str">
        <f>IMPRODUCT($AI8,COMPLEX(0,$B8,"j"),$D$24)</f>
        <v>-1.53888491537716E-004+3.51031431727659E-005j</v>
      </c>
      <c r="AO8" s="111">
        <f>IMABS(AN8)</f>
        <v>0.00015784137128256771</v>
      </c>
      <c r="AP8" s="132">
        <f>180/PI()*IMARGUMENT($AN8)</f>
        <v>167.15025383076957</v>
      </c>
      <c r="AQ8" s="133">
        <f t="shared" si="14"/>
        <v>6.942226094353949E-08</v>
      </c>
      <c r="AR8" s="133">
        <f aca="true" t="shared" si="16" ref="AR8:AR71">U8/(AF8+1)*9.802</f>
        <v>7.035342394835344E-10</v>
      </c>
      <c r="AS8" s="779">
        <f aca="true" t="shared" si="17" ref="AS8:AS71">0.0000003/AR8</f>
        <v>426.4184785380602</v>
      </c>
      <c r="AT8" s="143">
        <f aca="true" t="shared" si="18" ref="AT8:AT71">B8*$D$19*$D$21*$D$24*$D$17/$D$22</f>
        <v>0.35000000000000003</v>
      </c>
      <c r="AU8" s="120">
        <f aca="true" t="shared" si="19" ref="AU8:AU71">$D$24*$D$20/($D$22*$D$23)</f>
        <v>500</v>
      </c>
      <c r="AV8" s="130">
        <f aca="true" t="shared" si="20" ref="AV8:AV71">$D$24/(B8*$D$15*$D$22*$D$23)</f>
        <v>714285714.2857143</v>
      </c>
      <c r="AW8" s="582" t="str">
        <f>IF($D$10,IMDIV(COMPLEX(1,$B8/$D$49,"j"),COMPLEX(1,$B8/$D$50,"j")),COMPLEX(1,0,"j"))</f>
        <v>1</v>
      </c>
      <c r="AX8" s="184">
        <f>IMABS(AW8)</f>
        <v>1</v>
      </c>
      <c r="AY8" s="111"/>
    </row>
    <row r="9" spans="1:51" ht="15" customHeight="1">
      <c r="A9" s="129">
        <v>8.000000000000002E-05</v>
      </c>
      <c r="B9" s="144">
        <f t="shared" si="0"/>
        <v>0.0005026548245743671</v>
      </c>
      <c r="C9" s="448"/>
      <c r="D9" s="386" t="b">
        <v>1</v>
      </c>
      <c r="E9" s="241" t="s">
        <v>366</v>
      </c>
      <c r="F9" s="297"/>
      <c r="H9" s="119" t="str">
        <f>IMDIV(COMPLEX(0,$D$15*$D$23*$B9,"j"),COMPLEX(1,$B9*$D$16*$D$15*$D$23,"j"))</f>
        <v>3.2E-021+8E-012j</v>
      </c>
      <c r="I9" s="145">
        <f t="shared" si="15"/>
        <v>1E-05</v>
      </c>
      <c r="J9" s="150" t="str">
        <f>IMDIV(IF($D$12,$D$52/$D$19,$D$53)/$D$21,COMPLEX(1,$B9*IF($D$12,$D$52,$D$53*$D$19)*$D$17,"j"))</f>
        <v>2.39211928376225E-003-1.20241029894047E-002j</v>
      </c>
      <c r="K9" s="106" t="str">
        <f>IMSUM(IF($D$9,$H9,0),IF($D$7,$I9,0),IF($D$8,$J9,0))</f>
        <v>2.40211928376225E-003-1.20241029814047E-002j</v>
      </c>
      <c r="L9" s="139" t="str">
        <f>IMPRODUCT($D$22,$K9)</f>
        <v>9.608477135049E-004-4.80964119256188E-003j</v>
      </c>
      <c r="M9" s="377">
        <f>IMABS($L9)</f>
        <v>0.004904679064906863</v>
      </c>
      <c r="N9" s="128">
        <f t="shared" si="1"/>
        <v>203.88693873061587</v>
      </c>
      <c r="O9" s="498">
        <f t="shared" si="2"/>
        <v>405620.1766356489</v>
      </c>
      <c r="P9" s="111">
        <f t="shared" si="3"/>
        <v>0.4077738774612317</v>
      </c>
      <c r="Q9" s="141">
        <f t="shared" si="4"/>
        <v>0.0002049695068412849</v>
      </c>
      <c r="R9" s="141">
        <f t="shared" si="5"/>
        <v>1.0302891150440059E-07</v>
      </c>
      <c r="S9" s="119" t="str">
        <f>IMDIV(1/$D$37,COMPLEX(1-$B9*$B9*$D$40*$D$40,$B9*2*$D$26*$D$40,"j"))</f>
        <v>5.06605918212985E-003-1.6211389382857E-010j</v>
      </c>
      <c r="T9" s="111">
        <f>IMABS($S9)</f>
        <v>0.005066059182129852</v>
      </c>
      <c r="U9" s="111">
        <f t="shared" si="6"/>
        <v>1.0132118364259705E-05</v>
      </c>
      <c r="V9" s="119">
        <f t="shared" si="7"/>
        <v>2.5600000000065524E-12</v>
      </c>
      <c r="W9" s="120">
        <f t="shared" si="8"/>
        <v>5.092958178953685E-09</v>
      </c>
      <c r="X9" s="22" t="str">
        <f>IMPRODUCT(IMDIV($D$28,COMPLEX(1,$B9*$D$29,"j")),$AW9)</f>
        <v>5000000000</v>
      </c>
      <c r="Y9" s="106">
        <f>IMABS($X9)</f>
        <v>5000000000</v>
      </c>
      <c r="Z9" s="120" t="str">
        <f>IMPRODUCT($S9,$X9)</f>
        <v>25330295.9106492-0.81056946914285j</v>
      </c>
      <c r="AA9" s="197">
        <f>IMABS($Z9)</f>
        <v>25330295.91064921</v>
      </c>
      <c r="AB9" s="111">
        <f t="shared" si="9"/>
        <v>50660.59182129842</v>
      </c>
      <c r="AC9" s="111">
        <f t="shared" si="10"/>
        <v>0.012800000000032735</v>
      </c>
      <c r="AD9" s="120">
        <f t="shared" si="11"/>
        <v>25.46479089476837</v>
      </c>
      <c r="AE9" s="119" t="str">
        <f>IMPRODUCT($L9,$Z9)</f>
        <v>24338.5530096015-121829.635410474j</v>
      </c>
      <c r="AF9" s="111">
        <f>IMABS($AE9)</f>
        <v>124236.97206085717</v>
      </c>
      <c r="AG9" s="111">
        <f>ABS(AF9-1)</f>
        <v>124235.97206085717</v>
      </c>
      <c r="AH9" s="106">
        <f>IF(AND(IMREAL(AE9)&lt;0,IMAGINARY(AE9)&gt;0),180/PI()*IMARGUMENT($AE9)-360,180/PI()*IMARGUMENT($AE9))</f>
        <v>-78.7024467813226</v>
      </c>
      <c r="AI9" s="111" t="str">
        <f>IMDIV($Z9,IMSUM(1,IMPRODUCT($Z9,$L9)))</f>
        <v>39.9438429244019+199.935594868319j</v>
      </c>
      <c r="AJ9" s="111">
        <f>IMABS($AI9)</f>
        <v>203.88661722368605</v>
      </c>
      <c r="AK9" s="120">
        <f>180/PI()*IMARGUMENT($AI9)</f>
        <v>78.70199270348051</v>
      </c>
      <c r="AL9" s="144">
        <f t="shared" si="12"/>
        <v>405619.5370179349</v>
      </c>
      <c r="AM9" s="106">
        <f t="shared" si="13"/>
        <v>0.4077732344473721</v>
      </c>
      <c r="AN9" s="119" t="str">
        <f>IMPRODUCT($AI9,COMPLEX(0,$B9,"j"),$D$24)</f>
        <v>-2.00997182729413E-004+4.01559307159826E-005j</v>
      </c>
      <c r="AO9" s="111">
        <f>IMABS(AN9)</f>
        <v>0.00020496918362726584</v>
      </c>
      <c r="AP9" s="132">
        <f>180/PI()*IMARGUMENT($AN9)</f>
        <v>168.7019927034805</v>
      </c>
      <c r="AQ9" s="133">
        <f t="shared" si="14"/>
        <v>1.0302874903931467E-07</v>
      </c>
      <c r="AR9" s="133">
        <f t="shared" si="16"/>
        <v>7.993934749500322E-10</v>
      </c>
      <c r="AS9" s="779">
        <f t="shared" si="17"/>
        <v>375.28452433109004</v>
      </c>
      <c r="AT9" s="143">
        <f t="shared" si="18"/>
        <v>0.40000000000000013</v>
      </c>
      <c r="AU9" s="120">
        <f t="shared" si="19"/>
        <v>500</v>
      </c>
      <c r="AV9" s="130">
        <f t="shared" si="20"/>
        <v>624999999.9999999</v>
      </c>
      <c r="AW9" s="582" t="str">
        <f>IF($D$10,IMDIV(COMPLEX(1,$B9/$D$49,"j"),COMPLEX(1,$B9/$D$50,"j")),COMPLEX(1,0,"j"))</f>
        <v>1</v>
      </c>
      <c r="AX9" s="184">
        <f>IMABS(AW9)</f>
        <v>1</v>
      </c>
      <c r="AY9" s="111"/>
    </row>
    <row r="10" spans="1:51" ht="15" customHeight="1">
      <c r="A10" s="129">
        <v>8.999999999999999E-05</v>
      </c>
      <c r="B10" s="144">
        <f t="shared" si="0"/>
        <v>0.0005654866776461627</v>
      </c>
      <c r="C10" s="448"/>
      <c r="D10" s="450" t="b">
        <v>0</v>
      </c>
      <c r="E10" s="241" t="s">
        <v>367</v>
      </c>
      <c r="F10" s="297"/>
      <c r="H10" s="119" t="str">
        <f>IMDIV(COMPLEX(0,$D$15*$D$23*$B10,"j"),COMPLEX(1,$B10*$D$16*$D$15*$D$23,"j"))</f>
        <v>4.05E-021+9E-012j</v>
      </c>
      <c r="I10" s="145">
        <f t="shared" si="15"/>
        <v>1E-05</v>
      </c>
      <c r="J10" s="150" t="str">
        <f>IMDIV(IF($D$12,$D$52/$D$19,$D$53)/$D$21,COMPLEX(1,$B10*IF($D$12,$D$52,$D$53*$D$19)*$D$17,"j"))</f>
        <v>1.90529355718389E-003-1.07741812359256E-002j</v>
      </c>
      <c r="K10" s="106" t="str">
        <f>IMSUM(IF($D$9,$H10,0),IF($D$7,$I10,0),IF($D$8,$J10,0))</f>
        <v>1.91529355718389E-003-1.07741812269256E-002j</v>
      </c>
      <c r="L10" s="139" t="str">
        <f>IMPRODUCT($D$22,$K10)</f>
        <v>7.66117422873556E-004-4.30967249077024E-003j</v>
      </c>
      <c r="M10" s="377">
        <f>IMABS($L10)</f>
        <v>0.004377238042799612</v>
      </c>
      <c r="N10" s="128">
        <f t="shared" si="1"/>
        <v>228.45456203711868</v>
      </c>
      <c r="O10" s="498">
        <f t="shared" si="2"/>
        <v>403996.36466779443</v>
      </c>
      <c r="P10" s="111">
        <f t="shared" si="3"/>
        <v>0.45690912407423734</v>
      </c>
      <c r="Q10" s="141">
        <f t="shared" si="4"/>
        <v>0.0002583760225589588</v>
      </c>
      <c r="R10" s="141">
        <f t="shared" si="5"/>
        <v>1.461081985802956E-07</v>
      </c>
      <c r="S10" s="119" t="str">
        <f>IMDIV(1/$D$37,COMPLEX(1-$B10*$B10*$D$40*$D$40,$B10*2*$D$26*$D$40,"j"))</f>
        <v>5.0660591821333E-003-1.8237813055739E-010j</v>
      </c>
      <c r="T10" s="111">
        <f>IMABS($S10)</f>
        <v>0.005066059182133304</v>
      </c>
      <c r="U10" s="111">
        <f t="shared" si="6"/>
        <v>1.0132118364266607E-05</v>
      </c>
      <c r="V10" s="119">
        <f t="shared" si="7"/>
        <v>3.2400000000104976E-12</v>
      </c>
      <c r="W10" s="120">
        <f t="shared" si="8"/>
        <v>5.729577951326796E-09</v>
      </c>
      <c r="X10" s="22" t="str">
        <f>IMPRODUCT(IMDIV($D$28,COMPLEX(1,$B10*$D$29,"j")),$AW10)</f>
        <v>5000000000</v>
      </c>
      <c r="Y10" s="106">
        <f>IMABS($X10)</f>
        <v>5000000000</v>
      </c>
      <c r="Z10" s="120" t="str">
        <f>IMPRODUCT($S10,$X10)</f>
        <v>25330295.9106665-0.91189065278695j</v>
      </c>
      <c r="AA10" s="197">
        <f>IMABS($Z10)</f>
        <v>25330295.910666518</v>
      </c>
      <c r="AB10" s="111">
        <f t="shared" si="9"/>
        <v>50660.59182133304</v>
      </c>
      <c r="AC10" s="111">
        <f t="shared" si="10"/>
        <v>0.01620000000005249</v>
      </c>
      <c r="AD10" s="120">
        <f t="shared" si="11"/>
        <v>28.647889756633983</v>
      </c>
      <c r="AE10" s="119" t="str">
        <f>IMPRODUCT($L10,$Z10)</f>
        <v>19405.9770937543-109165.280167885j</v>
      </c>
      <c r="AF10" s="111">
        <f>IMABS($AE10)</f>
        <v>110876.73489554127</v>
      </c>
      <c r="AG10" s="111">
        <f>ABS(AF10-1)</f>
        <v>110875.73489554127</v>
      </c>
      <c r="AH10" s="106">
        <f>IF(AND(IMREAL(AE10)&lt;0,IMAGINARY(AE10)&gt;0),180/PI()*IMARGUMENT($AE10)-360,180/PI()*IMARGUMENT($AE10))</f>
        <v>-79.92000431264466</v>
      </c>
      <c r="AI10" s="111" t="str">
        <f>IMDIV($Z10,IMSUM(1,IMPRODUCT($Z10,$L10)))</f>
        <v>39.9867416446887+224.927505281461j</v>
      </c>
      <c r="AJ10" s="111">
        <f>IMABS($AI10)</f>
        <v>228.45420140479087</v>
      </c>
      <c r="AK10" s="120">
        <f>180/PI()*IMARGUMENT($AI10)</f>
        <v>79.91949347515948</v>
      </c>
      <c r="AL10" s="144">
        <f t="shared" si="12"/>
        <v>403995.72692982096</v>
      </c>
      <c r="AM10" s="106">
        <f t="shared" si="13"/>
        <v>0.4569084028095817</v>
      </c>
      <c r="AN10" s="119" t="str">
        <f>IMPRODUCT($AI10,COMPLEX(0,$B10,"j"),$D$24)</f>
        <v>-2.54387015345706E-004+4.5223939365101E-005j</v>
      </c>
      <c r="AO10" s="111">
        <f>IMABS(AN10)</f>
        <v>0.0002583756146934048</v>
      </c>
      <c r="AP10" s="132">
        <f>180/PI()*IMARGUMENT($AN10)</f>
        <v>169.91949347515947</v>
      </c>
      <c r="AQ10" s="133">
        <f t="shared" si="14"/>
        <v>1.4610796793775869E-07</v>
      </c>
      <c r="AR10" s="133">
        <f t="shared" si="16"/>
        <v>8.957165683453643E-10</v>
      </c>
      <c r="AS10" s="779">
        <f t="shared" si="17"/>
        <v>334.92737613884134</v>
      </c>
      <c r="AT10" s="143">
        <f t="shared" si="18"/>
        <v>0.44999999999999996</v>
      </c>
      <c r="AU10" s="120">
        <f t="shared" si="19"/>
        <v>500</v>
      </c>
      <c r="AV10" s="130">
        <f t="shared" si="20"/>
        <v>555555555.5555556</v>
      </c>
      <c r="AW10" s="582" t="str">
        <f>IF($D$10,IMDIV(COMPLEX(1,$B10/$D$49,"j"),COMPLEX(1,$B10/$D$50,"j")),COMPLEX(1,0,"j"))</f>
        <v>1</v>
      </c>
      <c r="AX10" s="184">
        <f>IMABS(AW10)</f>
        <v>1</v>
      </c>
      <c r="AY10" s="111"/>
    </row>
    <row r="11" spans="1:51" ht="15" customHeight="1">
      <c r="A11" s="129">
        <v>0.00010000000000000002</v>
      </c>
      <c r="B11" s="144">
        <f t="shared" si="0"/>
        <v>0.0006283185307179587</v>
      </c>
      <c r="C11" s="448"/>
      <c r="D11" s="688" t="b">
        <v>0</v>
      </c>
      <c r="E11" s="689" t="s">
        <v>377</v>
      </c>
      <c r="F11" s="690"/>
      <c r="H11" s="119" t="str">
        <f>IMDIV(COMPLEX(0,$D$15*$D$23*$B11,"j"),COMPLEX(1,$B11*$D$16*$D$15*$D$23,"j"))</f>
        <v>5E-021+1E-011j</v>
      </c>
      <c r="I11" s="145">
        <f t="shared" si="15"/>
        <v>1E-05</v>
      </c>
      <c r="J11" s="150" t="str">
        <f>IMDIV(IF($D$12,$D$52/$D$19,$D$53)/$D$21,COMPLEX(1,$B11*IF($D$12,$D$52,$D$53*$D$19)*$D$17,"j"))</f>
        <v>1.55223096134647E-003-9.75295476968142E-003j</v>
      </c>
      <c r="K11" s="106" t="str">
        <f>IMSUM(IF($D$9,$H11,0),IF($D$7,$I11,0),IF($D$8,$J11,0))</f>
        <v>1.56223096134647E-003-9.75295475968142E-003j</v>
      </c>
      <c r="L11" s="139" t="str">
        <f>IMPRODUCT($D$22,$K11)</f>
        <v>6.24892384538588E-004-3.90118190387257E-003j</v>
      </c>
      <c r="M11" s="377">
        <f>IMABS($L11)</f>
        <v>0.003950912646384014</v>
      </c>
      <c r="N11" s="128">
        <f t="shared" si="1"/>
        <v>253.10607687447305</v>
      </c>
      <c r="O11" s="498">
        <f t="shared" si="2"/>
        <v>402830.8326116964</v>
      </c>
      <c r="P11" s="111">
        <f t="shared" si="3"/>
        <v>0.5062121537489461</v>
      </c>
      <c r="Q11" s="141">
        <f t="shared" si="4"/>
        <v>0.00031806247667511125</v>
      </c>
      <c r="R11" s="141">
        <f t="shared" si="5"/>
        <v>1.9984454802102092E-07</v>
      </c>
      <c r="S11" s="119" t="str">
        <f>IMDIV(1/$D$37,COMPLEX(1-$B11*$B11*$D$40*$D$40,$B11*2*$D$26*$D$40,"j"))</f>
        <v>5.06605918213715E-003-2.02642367286296E-010j</v>
      </c>
      <c r="T11" s="111">
        <f>IMABS($S11)</f>
        <v>0.005066059182137154</v>
      </c>
      <c r="U11" s="111">
        <f t="shared" si="6"/>
        <v>1.0132118364274308E-05</v>
      </c>
      <c r="V11" s="119">
        <f t="shared" si="7"/>
        <v>4.0000000000160015E-12</v>
      </c>
      <c r="W11" s="120">
        <f t="shared" si="8"/>
        <v>6.3661977237012804E-09</v>
      </c>
      <c r="X11" s="22" t="str">
        <f>IMPRODUCT(IMDIV($D$28,COMPLEX(1,$B11*$D$29,"j")),$AW11)</f>
        <v>5000000000</v>
      </c>
      <c r="Y11" s="106">
        <f>IMABS($X11)</f>
        <v>5000000000</v>
      </c>
      <c r="Z11" s="120" t="str">
        <f>IMPRODUCT($S11,$X11)</f>
        <v>25330295.9106858-1.01321183643148j</v>
      </c>
      <c r="AA11" s="197">
        <f>IMABS($Z11)</f>
        <v>25330295.91068582</v>
      </c>
      <c r="AB11" s="111">
        <f t="shared" si="9"/>
        <v>50660.591821371636</v>
      </c>
      <c r="AC11" s="111">
        <f t="shared" si="10"/>
        <v>0.020000000000080047</v>
      </c>
      <c r="AD11" s="120">
        <f t="shared" si="11"/>
        <v>31.830988618506463</v>
      </c>
      <c r="AE11" s="119" t="str">
        <f>IMPRODUCT($L11,$Z11)</f>
        <v>15828.7050599728-98818.0926596532j</v>
      </c>
      <c r="AF11" s="111">
        <f>IMABS($AE11)</f>
        <v>100077.78645017791</v>
      </c>
      <c r="AG11" s="111">
        <f aca="true" t="shared" si="21" ref="AG11:AG74">ABS(AF11-1)</f>
        <v>100076.78645017791</v>
      </c>
      <c r="AH11" s="106">
        <f>IF(AND(IMREAL(AE11)&lt;0,IMAGINARY(AE11)&gt;0),180/PI()*IMARGUMENT($AE11)-360,180/PI()*IMARGUMENT($AE11))</f>
        <v>-80.89965456065063</v>
      </c>
      <c r="AI11" s="111" t="str">
        <f>IMDIV($Z11,IMSUM(1,IMPRODUCT($Z11,$L11)))</f>
        <v>40.0346872556827+249.919401949189j</v>
      </c>
      <c r="AJ11" s="111">
        <f>IMABS($AI11)</f>
        <v>253.10567685119315</v>
      </c>
      <c r="AK11" s="120">
        <f>180/PI()*IMARGUMENT($AI11)</f>
        <v>80.89908696355324</v>
      </c>
      <c r="AL11" s="144">
        <f t="shared" si="12"/>
        <v>402830.19595487294</v>
      </c>
      <c r="AM11" s="106">
        <f t="shared" si="13"/>
        <v>0.5062113537023863</v>
      </c>
      <c r="AN11" s="119" t="str">
        <f>IMPRODUCT($AI11,COMPLEX(0,$B11,"j"),$D$24)</f>
        <v>-3.14057982861251E-004+5.03090717484871E-005j</v>
      </c>
      <c r="AO11" s="111">
        <f>IMABS(AN11)</f>
        <v>0.00031806197399103254</v>
      </c>
      <c r="AP11" s="132">
        <f>180/PI()*IMARGUMENT($AN11)</f>
        <v>170.89908696355323</v>
      </c>
      <c r="AQ11" s="133">
        <f t="shared" si="14"/>
        <v>1.9984423217529902E-07</v>
      </c>
      <c r="AR11" s="133">
        <f t="shared" si="16"/>
        <v>9.923683902388108E-10</v>
      </c>
      <c r="AS11" s="779">
        <f t="shared" si="17"/>
        <v>302.3070897369129</v>
      </c>
      <c r="AT11" s="143">
        <f t="shared" si="18"/>
        <v>0.5000000000000001</v>
      </c>
      <c r="AU11" s="120">
        <f t="shared" si="19"/>
        <v>500</v>
      </c>
      <c r="AV11" s="130">
        <f t="shared" si="20"/>
        <v>499999999.99999994</v>
      </c>
      <c r="AW11" s="582" t="str">
        <f>IF($D$10,IMDIV(COMPLEX(1,$B11/$D$49,"j"),COMPLEX(1,$B11/$D$50,"j")),COMPLEX(1,0,"j"))</f>
        <v>1</v>
      </c>
      <c r="AX11" s="184">
        <f>IMABS(AW11)</f>
        <v>1</v>
      </c>
      <c r="AY11" s="111"/>
    </row>
    <row r="12" spans="1:51" ht="15" customHeight="1" thickBot="1">
      <c r="A12" s="134">
        <v>0.00015000000000000001</v>
      </c>
      <c r="B12" s="144">
        <f t="shared" si="0"/>
        <v>0.000942477796076938</v>
      </c>
      <c r="C12" s="448"/>
      <c r="D12" s="451" t="b">
        <v>1</v>
      </c>
      <c r="E12" s="241" t="s">
        <v>535</v>
      </c>
      <c r="F12" s="297"/>
      <c r="H12" s="119" t="str">
        <f>IMDIV(COMPLEX(0,$D$15*$D$23*$B12,"j"),COMPLEX(1,$B12*$D$16*$D$15*$D$23,"j"))</f>
        <v>1.125E-020+1.5E-011j</v>
      </c>
      <c r="I12" s="145">
        <f t="shared" si="15"/>
        <v>1E-05</v>
      </c>
      <c r="J12" s="150" t="str">
        <f>IMDIV(IF($D$12,$D$52/$D$19,$D$53)/$D$21,COMPLEX(1,$B12*IF($D$12,$D$52,$D$53*$D$19)*$D$17,"j"))</f>
        <v>6.99480613333115E-004-6.59244946852739E-003j</v>
      </c>
      <c r="K12" s="106" t="str">
        <f>IMSUM(IF($D$9,$H12,0),IF($D$7,$I12,0),IF($D$8,$J12,0))</f>
        <v>7.09480613333115E-004-6.59244945352739E-003j</v>
      </c>
      <c r="L12" s="139" t="str">
        <f>IMPRODUCT($D$22,$K12)</f>
        <v>2.83792245333246E-004-2.63697978141096E-003j</v>
      </c>
      <c r="M12" s="377">
        <f>IMABS($L12)</f>
        <v>0.0026522067050065083</v>
      </c>
      <c r="N12" s="128">
        <f t="shared" si="1"/>
        <v>377.0445184805255</v>
      </c>
      <c r="O12" s="498">
        <f t="shared" si="2"/>
        <v>400056.6592125274</v>
      </c>
      <c r="P12" s="111">
        <f t="shared" si="3"/>
        <v>0.754089036961051</v>
      </c>
      <c r="Q12" s="141">
        <f t="shared" si="4"/>
        <v>0.000710712173600832</v>
      </c>
      <c r="R12" s="141">
        <f t="shared" si="5"/>
        <v>6.698304430203624E-07</v>
      </c>
      <c r="S12" s="119" t="str">
        <f>IMDIV(1/$D$37,COMPLEX(1-$B12*$B12*$D$40*$D$40,$B12*2*$D$26*$D$40,"j"))</f>
        <v>5.06605918216247E-003-3.03963550932484E-010j</v>
      </c>
      <c r="T12" s="111">
        <f>IMABS($S12)</f>
        <v>0.005066059182162479</v>
      </c>
      <c r="U12" s="111">
        <f t="shared" si="6"/>
        <v>1.0132118364324957E-05</v>
      </c>
      <c r="V12" s="119">
        <f t="shared" si="7"/>
        <v>9.000000000080994E-12</v>
      </c>
      <c r="W12" s="120">
        <f t="shared" si="8"/>
        <v>9.549296585599656E-09</v>
      </c>
      <c r="X12" s="22" t="str">
        <f>IMPRODUCT(IMDIV($D$28,COMPLEX(1,$B12*$D$29,"j")),$AW12)</f>
        <v>5000000000</v>
      </c>
      <c r="Y12" s="106">
        <f>IMABS($X12)</f>
        <v>5000000000</v>
      </c>
      <c r="Z12" s="120" t="str">
        <f>IMPRODUCT($S12,$X12)</f>
        <v>25330295.9108124-1.51981775466242j</v>
      </c>
      <c r="AA12" s="197">
        <f>IMABS($Z12)</f>
        <v>25330295.910812445</v>
      </c>
      <c r="AB12" s="111">
        <f t="shared" si="9"/>
        <v>50660.59182162489</v>
      </c>
      <c r="AC12" s="111">
        <f t="shared" si="10"/>
        <v>0.045000000000405056</v>
      </c>
      <c r="AD12" s="120">
        <f t="shared" si="11"/>
        <v>47.74648292799838</v>
      </c>
      <c r="AE12" s="119" t="str">
        <f>IMPRODUCT($L12,$Z12)</f>
        <v>7188.5375437563-66795.4786052815j</v>
      </c>
      <c r="AF12" s="111">
        <f>IMABS($AE12)</f>
        <v>67181.18065445569</v>
      </c>
      <c r="AG12" s="111">
        <f t="shared" si="21"/>
        <v>67180.18065445569</v>
      </c>
      <c r="AH12" s="106">
        <f>IF(AND(IMREAL(AE12)&lt;0,IMAGINARY(AE12)&gt;0),180/PI()*IMARGUMENT($AE12)-360,180/PI()*IMARGUMENT($AE12))</f>
        <v>-83.85746290098753</v>
      </c>
      <c r="AI12" s="111" t="str">
        <f>IMDIV($Z12,IMSUM(1,IMPRODUCT($Z12,$L12)))</f>
        <v>40.350118444785+374.878625652645j</v>
      </c>
      <c r="AJ12" s="111">
        <f>IMABS($AI12)</f>
        <v>377.0439179057582</v>
      </c>
      <c r="AK12" s="120">
        <f>180/PI()*IMARGUMENT($AI12)</f>
        <v>83.85661150641042</v>
      </c>
      <c r="AL12" s="144">
        <f t="shared" si="12"/>
        <v>400056.02198290796</v>
      </c>
      <c r="AM12" s="106">
        <f t="shared" si="13"/>
        <v>0.7540878358115164</v>
      </c>
      <c r="AN12" s="119" t="str">
        <f>IMPRODUCT($AI12,COMPLEX(0,$B12,"j"),$D$24)</f>
        <v>-7.06629561802913E-004+7.60581814065687E-005j</v>
      </c>
      <c r="AO12" s="111">
        <f>IMABS(AN12)</f>
        <v>0.0007107110415440662</v>
      </c>
      <c r="AP12" s="132">
        <f>180/PI()*IMARGUMENT($AN12)</f>
        <v>173.85661150641045</v>
      </c>
      <c r="AQ12" s="133">
        <f t="shared" si="14"/>
        <v>6.698293760819964E-07</v>
      </c>
      <c r="AR12" s="133">
        <f t="shared" si="16"/>
        <v>1.4782941434713076E-09</v>
      </c>
      <c r="AS12" s="779">
        <f t="shared" si="17"/>
        <v>202.936608607232</v>
      </c>
      <c r="AT12" s="143">
        <f t="shared" si="18"/>
        <v>0.7500000000000001</v>
      </c>
      <c r="AU12" s="120">
        <f t="shared" si="19"/>
        <v>500</v>
      </c>
      <c r="AV12" s="130">
        <f t="shared" si="20"/>
        <v>333333333.3333333</v>
      </c>
      <c r="AW12" s="582" t="str">
        <f>IF($D$10,IMDIV(COMPLEX(1,$B12/$D$49,"j"),COMPLEX(1,$B12/$D$50,"j")),COMPLEX(1,0,"j"))</f>
        <v>1</v>
      </c>
      <c r="AX12" s="184">
        <f>IMABS(AW12)</f>
        <v>1</v>
      </c>
      <c r="AY12" s="111"/>
    </row>
    <row r="13" spans="1:51" ht="15" customHeight="1" thickBot="1">
      <c r="A13" s="134">
        <v>0.00020000000000000004</v>
      </c>
      <c r="B13" s="144">
        <f t="shared" si="0"/>
        <v>0.0012566370614359175</v>
      </c>
      <c r="C13" s="462"/>
      <c r="D13" s="121"/>
      <c r="E13" s="259"/>
      <c r="F13" s="376"/>
      <c r="H13" s="119" t="str">
        <f>IMDIV(COMPLEX(0,$D$15*$D$23*$B13,"j"),COMPLEX(1,$B13*$D$16*$D$15*$D$23,"j"))</f>
        <v>2E-020+2E-011j</v>
      </c>
      <c r="I13" s="145">
        <f t="shared" si="15"/>
        <v>1E-05</v>
      </c>
      <c r="J13" s="150" t="str">
        <f>IMDIV(IF($D$12,$D$52/$D$19,$D$53)/$D$21,COMPLEX(1,$B13*IF($D$12,$D$52,$D$53*$D$19)*$D$17,"j"))</f>
        <v>3.95383562073362E-004-4.96853637583936E-003j</v>
      </c>
      <c r="K13" s="106" t="str">
        <f>IMSUM(IF($D$9,$H13,0),IF($D$7,$I13,0),IF($D$8,$J13,0))</f>
        <v>4.05383562073362E-004-4.96853635583936E-003j</v>
      </c>
      <c r="L13" s="139" t="str">
        <f>IMPRODUCT($D$22,$K13)</f>
        <v>1.62153424829345E-004-1.98741454233574E-003j</v>
      </c>
      <c r="M13" s="377">
        <f>IMABS($L13)</f>
        <v>0.00199401862987071</v>
      </c>
      <c r="N13" s="128">
        <f t="shared" si="1"/>
        <v>501.4998280456582</v>
      </c>
      <c r="O13" s="498">
        <f t="shared" si="2"/>
        <v>399080.8829660101</v>
      </c>
      <c r="P13" s="111">
        <f t="shared" si="3"/>
        <v>1.0029996560913164</v>
      </c>
      <c r="Q13" s="141">
        <f t="shared" si="4"/>
        <v>0.0012604065404518275</v>
      </c>
      <c r="R13" s="141">
        <f t="shared" si="5"/>
        <v>1.5838735712079954E-06</v>
      </c>
      <c r="S13" s="119" t="str">
        <f>IMDIV(1/$D$37,COMPLEX(1-$B13*$B13*$D$40*$D$40,$B13*2*$D$26*$D$40,"j"))</f>
        <v>5.06605918219791E-003-4.05284734582318E-010j</v>
      </c>
      <c r="T13" s="111">
        <f>IMABS($S13)</f>
        <v>0.0050660591821979255</v>
      </c>
      <c r="U13" s="111">
        <f t="shared" si="6"/>
        <v>1.013211836439585E-05</v>
      </c>
      <c r="V13" s="119">
        <f t="shared" si="7"/>
        <v>1.600000000025594E-11</v>
      </c>
      <c r="W13" s="120">
        <f t="shared" si="8"/>
        <v>1.2732395447555296E-08</v>
      </c>
      <c r="X13" s="22" t="str">
        <f>IMPRODUCT(IMDIV($D$28,COMPLEX(1,$B13*$D$29,"j")),$AW13)</f>
        <v>5000000000</v>
      </c>
      <c r="Y13" s="106">
        <f>IMABS($X13)</f>
        <v>5000000000</v>
      </c>
      <c r="Z13" s="120" t="str">
        <f>IMPRODUCT($S13,$X13)</f>
        <v>25330295.9109895-2.02642367291159j</v>
      </c>
      <c r="AA13" s="197">
        <f>IMABS($Z13)</f>
        <v>25330295.91098958</v>
      </c>
      <c r="AB13" s="111">
        <f t="shared" si="9"/>
        <v>50660.59182197916</v>
      </c>
      <c r="AC13" s="111">
        <f t="shared" si="10"/>
        <v>0.08000000000127955</v>
      </c>
      <c r="AD13" s="120">
        <f t="shared" si="11"/>
        <v>63.661977237776355</v>
      </c>
      <c r="AE13" s="119" t="str">
        <f>IMPRODUCT($L13,$Z13)</f>
        <v>4107.39020656382-50341.7987837596j</v>
      </c>
      <c r="AF13" s="111">
        <f>IMABS($AE13)</f>
        <v>50509.0819466511</v>
      </c>
      <c r="AG13" s="111">
        <f t="shared" si="21"/>
        <v>50508.0819466511</v>
      </c>
      <c r="AH13" s="106">
        <f>IF(AND(IMREAL(AE13)&lt;0,IMAGINARY(AE13)&gt;0),180/PI()*IMARGUMENT($AE13)-360,180/PI()*IMARGUMENT($AE13))</f>
        <v>-85.33556608444837</v>
      </c>
      <c r="AI13" s="111" t="str">
        <f>IMDIV($Z13,IMSUM(1,IMPRODUCT($Z13,$L13)))</f>
        <v>40.7917207615271+499.837276633459j</v>
      </c>
      <c r="AJ13" s="111">
        <f>IMABS($AI13)</f>
        <v>501.4990205324826</v>
      </c>
      <c r="AK13" s="120">
        <f>180/PI()*IMARGUMENT($AI13)</f>
        <v>85.33443089367438</v>
      </c>
      <c r="AL13" s="144">
        <f t="shared" si="12"/>
        <v>399080.24036744254</v>
      </c>
      <c r="AM13" s="106">
        <f t="shared" si="13"/>
        <v>1.0029980410649653</v>
      </c>
      <c r="AN13" s="119" t="str">
        <f>IMPRODUCT($AI13,COMPLEX(0,$B13,"j"),$D$24)</f>
        <v>-1.25622809300961E-003+1.0252077621736E-004j</v>
      </c>
      <c r="AO13" s="111">
        <f>IMABS(AN13)</f>
        <v>0.0012604045109498663</v>
      </c>
      <c r="AP13" s="132">
        <f>180/PI()*IMARGUMENT($AN13)</f>
        <v>175.3344308936744</v>
      </c>
      <c r="AQ13" s="133">
        <f t="shared" si="14"/>
        <v>1.5838710208606061E-06</v>
      </c>
      <c r="AR13" s="133">
        <f t="shared" si="16"/>
        <v>1.9662415973251627E-09</v>
      </c>
      <c r="AS13" s="779">
        <f t="shared" si="17"/>
        <v>152.57535005266607</v>
      </c>
      <c r="AT13" s="143">
        <f t="shared" si="18"/>
        <v>1.0000000000000002</v>
      </c>
      <c r="AU13" s="120">
        <f t="shared" si="19"/>
        <v>500</v>
      </c>
      <c r="AV13" s="130">
        <f t="shared" si="20"/>
        <v>249999999.99999997</v>
      </c>
      <c r="AW13" s="582" t="str">
        <f>IF($D$10,IMDIV(COMPLEX(1,$B13/$D$49,"j"),COMPLEX(1,$B13/$D$50,"j")),COMPLEX(1,0,"j"))</f>
        <v>1</v>
      </c>
      <c r="AX13" s="184">
        <f>IMABS(AW13)</f>
        <v>1</v>
      </c>
      <c r="AY13" s="111"/>
    </row>
    <row r="14" spans="1:51" ht="15" customHeight="1" thickBot="1">
      <c r="A14" s="134">
        <v>0.00030000000000000003</v>
      </c>
      <c r="B14" s="144">
        <f t="shared" si="0"/>
        <v>0.001884955592153876</v>
      </c>
      <c r="C14" s="468"/>
      <c r="D14" s="115" t="s">
        <v>421</v>
      </c>
      <c r="E14" s="116"/>
      <c r="F14" s="469" t="s">
        <v>656</v>
      </c>
      <c r="G14" s="281"/>
      <c r="H14" s="119" t="str">
        <f>IMDIV(COMPLEX(0,$D$15*$D$23*$B14,"j"),COMPLEX(1,$B14*$D$16*$D$15*$D$23,"j"))</f>
        <v>4.5E-020+3E-011j</v>
      </c>
      <c r="I14" s="145">
        <f t="shared" si="15"/>
        <v>1E-05</v>
      </c>
      <c r="J14" s="150" t="str">
        <f>IMDIV(IF($D$12,$D$52/$D$19,$D$53)/$D$21,COMPLEX(1,$B14*IF($D$12,$D$52,$D$53*$D$19)*$D$17,"j"))</f>
        <v>1.76342513651837E-004-3.32397807242501E-003j</v>
      </c>
      <c r="K14" s="106" t="str">
        <f>IMSUM(IF($D$9,$H14,0),IF($D$7,$I14,0),IF($D$8,$J14,0))</f>
        <v>1.86342513651837E-004-3.32397804242501E-003j</v>
      </c>
      <c r="L14" s="139" t="str">
        <f>IMPRODUCT($D$22,$K14)</f>
        <v>7.45370054607348E-005-1.32959121697E-003j</v>
      </c>
      <c r="M14" s="377">
        <f>IMABS($L14)</f>
        <v>0.001331678853713169</v>
      </c>
      <c r="N14" s="128">
        <f t="shared" si="1"/>
        <v>750.9318010206915</v>
      </c>
      <c r="O14" s="498">
        <f t="shared" si="2"/>
        <v>398381.6935244754</v>
      </c>
      <c r="P14" s="111">
        <f t="shared" si="3"/>
        <v>1.5018636020413831</v>
      </c>
      <c r="Q14" s="141">
        <f t="shared" si="4"/>
        <v>0.0028309461953202686</v>
      </c>
      <c r="R14" s="141">
        <f t="shared" si="5"/>
        <v>5.33620786195568E-06</v>
      </c>
      <c r="S14" s="119" t="str">
        <f>IMDIV(1/$D$37,COMPLEX(1-$B14*$B14*$D$40*$D$40,$B14*2*$D$26*$D$40,"j"))</f>
        <v>5.06605918229919E-003-6.07927101897788E-010j</v>
      </c>
      <c r="T14" s="111">
        <f>IMABS($S14)</f>
        <v>0.005066059182299226</v>
      </c>
      <c r="U14" s="111">
        <f t="shared" si="6"/>
        <v>1.0132118364598453E-05</v>
      </c>
      <c r="V14" s="119">
        <f t="shared" si="7"/>
        <v>3.600000000129571E-11</v>
      </c>
      <c r="W14" s="120">
        <f t="shared" si="8"/>
        <v>1.9098593171714837E-08</v>
      </c>
      <c r="X14" s="22" t="str">
        <f>IMPRODUCT(IMDIV($D$28,COMPLEX(1,$B14*$D$29,"j")),$AW14)</f>
        <v>5000000000</v>
      </c>
      <c r="Y14" s="106">
        <f>IMABS($X14)</f>
        <v>5000000000</v>
      </c>
      <c r="Z14" s="120" t="str">
        <f>IMPRODUCT($S14,$X14)</f>
        <v>25330295.911496-3.03963550948894j</v>
      </c>
      <c r="AA14" s="197">
        <f>IMABS($Z14)</f>
        <v>25330295.911496177</v>
      </c>
      <c r="AB14" s="111">
        <f t="shared" si="9"/>
        <v>50660.591822992355</v>
      </c>
      <c r="AC14" s="111">
        <f t="shared" si="10"/>
        <v>0.18000000000647892</v>
      </c>
      <c r="AD14" s="120">
        <f t="shared" si="11"/>
        <v>95.49296585857437</v>
      </c>
      <c r="AE14" s="119" t="str">
        <f>IMPRODUCT($L14,$Z14)</f>
        <v>1888.04036320453-33678.9391937415j</v>
      </c>
      <c r="AF14" s="111">
        <f>IMABS($AE14)</f>
        <v>33731.81942363659</v>
      </c>
      <c r="AG14" s="111">
        <f t="shared" si="21"/>
        <v>33730.81942363659</v>
      </c>
      <c r="AH14" s="106">
        <f>IF(AND(IMREAL(AE14)&lt;0,IMAGINARY(AE14)&gt;0),180/PI()*IMARGUMENT($AE14)-360,180/PI()*IMARGUMENT($AE14))</f>
        <v>-86.79135872239979</v>
      </c>
      <c r="AI14" s="111" t="str">
        <f>IMDIV($Z14,IMSUM(1,IMPRODUCT($Z14,$L14)))</f>
        <v>42.0534330008516+749.752096818964j</v>
      </c>
      <c r="AJ14" s="111">
        <f>IMABS($AI14)</f>
        <v>750.9305546530853</v>
      </c>
      <c r="AK14" s="120">
        <f>180/PI()*IMARGUMENT($AI14)</f>
        <v>86.7896559447907</v>
      </c>
      <c r="AL14" s="144">
        <f t="shared" si="12"/>
        <v>398381.03230592393</v>
      </c>
      <c r="AM14" s="106">
        <f t="shared" si="13"/>
        <v>1.5018611093061707</v>
      </c>
      <c r="AN14" s="119" t="str">
        <f>IMPRODUCT($AI14,COMPLEX(0,$B14,"j"),$D$24)</f>
        <v>-2.82649881525601E-003+1.58537707408447E-004j</v>
      </c>
      <c r="AO14" s="111">
        <f>IMABS(AN14)</f>
        <v>0.002830941496625099</v>
      </c>
      <c r="AP14" s="132">
        <f>180/PI()*IMARGUMENT($AN14)</f>
        <v>176.78965594479072</v>
      </c>
      <c r="AQ14" s="133">
        <f t="shared" si="14"/>
        <v>5.336199005123926E-06</v>
      </c>
      <c r="AR14" s="133">
        <f t="shared" si="16"/>
        <v>2.944166123872942E-09</v>
      </c>
      <c r="AS14" s="779">
        <f t="shared" si="17"/>
        <v>101.89642410712919</v>
      </c>
      <c r="AT14" s="143">
        <f t="shared" si="18"/>
        <v>1.5000000000000002</v>
      </c>
      <c r="AU14" s="120">
        <f t="shared" si="19"/>
        <v>500</v>
      </c>
      <c r="AV14" s="130">
        <f t="shared" si="20"/>
        <v>166666666.66666666</v>
      </c>
      <c r="AW14" s="582" t="str">
        <f>IF($D$10,IMDIV(COMPLEX(1,$B14/$D$49,"j"),COMPLEX(1,$B14/$D$50,"j")),COMPLEX(1,0,"j"))</f>
        <v>1</v>
      </c>
      <c r="AX14" s="184">
        <f>IMABS(AW14)</f>
        <v>1</v>
      </c>
      <c r="AY14" s="111"/>
    </row>
    <row r="15" spans="1:51" ht="15" customHeight="1">
      <c r="A15" s="134">
        <v>0.0004000000000000001</v>
      </c>
      <c r="B15" s="144">
        <f t="shared" si="0"/>
        <v>0.002513274122871835</v>
      </c>
      <c r="C15" s="436" t="s">
        <v>44</v>
      </c>
      <c r="D15" s="452">
        <v>1.5915494309189533E-09</v>
      </c>
      <c r="E15" s="273" t="s">
        <v>110</v>
      </c>
      <c r="F15" s="335">
        <v>1.5915494309189533E-09</v>
      </c>
      <c r="G15" s="292" t="str">
        <f aca="true" t="shared" si="22" ref="G15:G24">IF(D15=F15,"MATCHES","")</f>
        <v>MATCHES</v>
      </c>
      <c r="H15" s="119" t="str">
        <f>IMDIV(COMPLEX(0,$D$15*$D$23*$B15,"j"),COMPLEX(1,$B15*$D$16*$D$15*$D$23,"j"))</f>
        <v>8E-020+4E-011j</v>
      </c>
      <c r="I15" s="145">
        <f t="shared" si="15"/>
        <v>1E-05</v>
      </c>
      <c r="J15" s="150" t="str">
        <f>IMDIV(IF($D$12,$D$52/$D$19,$D$53)/$D$21,COMPLEX(1,$B15*IF($D$12,$D$52,$D$53*$D$19)*$D$17,"j"))</f>
        <v>9.93146101534705E-005-2.49604839721821E-003j</v>
      </c>
      <c r="K15" s="106" t="str">
        <f>IMSUM(IF($D$9,$H15,0),IF($D$7,$I15,0),IF($D$8,$J15,0))</f>
        <v>1.09314610153471E-004-2.49604835721821E-003j</v>
      </c>
      <c r="L15" s="139" t="str">
        <f>IMPRODUCT($D$22,$K15)</f>
        <v>4.37258440613884E-005-9.98419342887284E-004j</v>
      </c>
      <c r="M15" s="377">
        <f>IMABS($L15)</f>
        <v>0.00099937637238948</v>
      </c>
      <c r="N15" s="128">
        <f t="shared" si="1"/>
        <v>1000.6240167646038</v>
      </c>
      <c r="O15" s="498">
        <f t="shared" si="2"/>
        <v>398135.64611138555</v>
      </c>
      <c r="P15" s="111">
        <f t="shared" si="3"/>
        <v>2.0012480335292078</v>
      </c>
      <c r="Q15" s="141">
        <f t="shared" si="4"/>
        <v>0.0050296848961171045</v>
      </c>
      <c r="R15" s="141">
        <f t="shared" si="5"/>
        <v>1.2640976895610432E-05</v>
      </c>
      <c r="S15" s="119" t="str">
        <f>IMDIV(1/$D$37,COMPLEX(1-$B15*$B15*$D$40*$D$40,$B15*2*$D$26*$D$40,"j"))</f>
        <v>5.06605918244099E-003-8.10569469242434E-010j</v>
      </c>
      <c r="T15" s="111">
        <f>IMABS($S15)</f>
        <v>0.005066059182441054</v>
      </c>
      <c r="U15" s="111">
        <f t="shared" si="6"/>
        <v>1.0132118364882109E-05</v>
      </c>
      <c r="V15" s="119">
        <f t="shared" si="7"/>
        <v>6.400000000409524E-11</v>
      </c>
      <c r="W15" s="120">
        <f t="shared" si="8"/>
        <v>2.5464790896332693E-08</v>
      </c>
      <c r="X15" s="22" t="str">
        <f>IMPRODUCT(IMDIV($D$28,COMPLEX(1,$B15*$D$29,"j")),$AW15)</f>
        <v>5000000000</v>
      </c>
      <c r="Y15" s="106">
        <f>IMABS($X15)</f>
        <v>5000000000</v>
      </c>
      <c r="Z15" s="120" t="str">
        <f>IMPRODUCT($S15,$X15)</f>
        <v>25330295.9122049-4.05284734621217j</v>
      </c>
      <c r="AA15" s="197">
        <f>IMABS($Z15)</f>
        <v>25330295.91220522</v>
      </c>
      <c r="AB15" s="111">
        <f t="shared" si="9"/>
        <v>50660.59182441044</v>
      </c>
      <c r="AC15" s="111">
        <f t="shared" si="10"/>
        <v>0.3200000000204755</v>
      </c>
      <c r="AD15" s="120">
        <f t="shared" si="11"/>
        <v>127.3239544816632</v>
      </c>
      <c r="AE15" s="119" t="str">
        <f>IMPRODUCT($L15,$Z15)</f>
        <v>1107.58452264471-25290.2575770182j</v>
      </c>
      <c r="AF15" s="111">
        <f>IMABS($AE15)</f>
        <v>25314.49924029169</v>
      </c>
      <c r="AG15" s="111">
        <f t="shared" si="21"/>
        <v>25313.49924029169</v>
      </c>
      <c r="AH15" s="106">
        <f>IF(AND(IMREAL(AE15)&lt;0,IMAGINARY(AE15)&gt;0),180/PI()*IMARGUMENT($AE15)-360,180/PI()*IMARGUMENT($AE15))</f>
        <v>-87.49233897205201</v>
      </c>
      <c r="AI15" s="111" t="str">
        <f>IMDIV($Z15,IMSUM(1,IMPRODUCT($Z15,$L15)))</f>
        <v>43.8198085683619+999.662335334014j</v>
      </c>
      <c r="AJ15" s="111">
        <f>IMABS($AI15)</f>
        <v>1000.6222865339462</v>
      </c>
      <c r="AK15" s="120">
        <f>180/PI()*IMARGUMENT($AI15)</f>
        <v>87.49006861786994</v>
      </c>
      <c r="AL15" s="144">
        <f t="shared" si="12"/>
        <v>398134.9576744809</v>
      </c>
      <c r="AM15" s="106">
        <f t="shared" si="13"/>
        <v>2.0012445730678925</v>
      </c>
      <c r="AN15" s="119" t="str">
        <f>IMPRODUCT($AI15,COMPLEX(0,$B15,"j"),$D$24)</f>
        <v>-5.0248509580092E-003+2.20262381888123E-004j</v>
      </c>
      <c r="AO15" s="111">
        <f>IMABS(AN15)</f>
        <v>0.005029676199029219</v>
      </c>
      <c r="AP15" s="132">
        <f>180/PI()*IMARGUMENT($AN15)</f>
        <v>177.49006861786995</v>
      </c>
      <c r="AQ15" s="133">
        <f t="shared" si="14"/>
        <v>1.2640955037444526E-05</v>
      </c>
      <c r="AR15" s="133">
        <f t="shared" si="16"/>
        <v>3.923091670833275E-09</v>
      </c>
      <c r="AS15" s="779">
        <f t="shared" si="17"/>
        <v>76.47030076569156</v>
      </c>
      <c r="AT15" s="143">
        <f t="shared" si="18"/>
        <v>2.0000000000000004</v>
      </c>
      <c r="AU15" s="120">
        <f t="shared" si="19"/>
        <v>500</v>
      </c>
      <c r="AV15" s="130">
        <f t="shared" si="20"/>
        <v>124999999.99999999</v>
      </c>
      <c r="AW15" s="582" t="str">
        <f>IF($D$10,IMDIV(COMPLEX(1,$B15/$D$49,"j"),COMPLEX(1,$B15/$D$50,"j")),COMPLEX(1,0,"j"))</f>
        <v>1</v>
      </c>
      <c r="AX15" s="184">
        <f>IMABS(AW15)</f>
        <v>1</v>
      </c>
      <c r="AY15" s="111"/>
    </row>
    <row r="16" spans="1:51" ht="15" customHeight="1">
      <c r="A16" s="134">
        <v>0.0005000000000000001</v>
      </c>
      <c r="B16" s="144">
        <f t="shared" si="0"/>
        <v>0.0031415926535897937</v>
      </c>
      <c r="C16" s="437" t="s">
        <v>51</v>
      </c>
      <c r="D16" s="457">
        <v>50</v>
      </c>
      <c r="E16" s="131" t="s">
        <v>57</v>
      </c>
      <c r="F16" s="311">
        <v>50</v>
      </c>
      <c r="G16" s="293" t="str">
        <f t="shared" si="22"/>
        <v>MATCHES</v>
      </c>
      <c r="H16" s="119" t="str">
        <f>IMDIV(COMPLEX(0,$D$15*$D$23*$B16,"j"),COMPLEX(1,$B16*$D$16*$D$15*$D$23,"j"))</f>
        <v>1.25E-019+5E-011j</v>
      </c>
      <c r="I16" s="145">
        <f t="shared" si="15"/>
        <v>1E-05</v>
      </c>
      <c r="J16" s="150" t="str">
        <f>IMDIV(IF($D$12,$D$52/$D$19,$D$53)/$D$21,COMPLEX(1,$B16*IF($D$12,$D$52,$D$53*$D$19)*$D$17,"j"))</f>
        <v>6.3597539457013E-005-1.99797562744539E-003j</v>
      </c>
      <c r="K16" s="106" t="str">
        <f>IMSUM(IF($D$9,$H16,0),IF($D$7,$I16,0),IF($D$8,$J16,0))</f>
        <v>7.35975394570131E-005-1.99797557744539E-003j</v>
      </c>
      <c r="L16" s="139" t="str">
        <f>IMPRODUCT($D$22,$K16)</f>
        <v>2.94390157828052E-005-7.99190230978156E-004j</v>
      </c>
      <c r="M16" s="377">
        <f>IMABS($L16)</f>
        <v>0.0007997322557838833</v>
      </c>
      <c r="N16" s="128">
        <f t="shared" si="1"/>
        <v>1250.4184903981618</v>
      </c>
      <c r="O16" s="498">
        <f t="shared" si="2"/>
        <v>398020.56736074615</v>
      </c>
      <c r="P16" s="111">
        <f t="shared" si="3"/>
        <v>2.5008369807963238</v>
      </c>
      <c r="Q16" s="141">
        <f t="shared" si="4"/>
        <v>0.00785661108669541</v>
      </c>
      <c r="R16" s="141">
        <f t="shared" si="5"/>
        <v>2.468227167207443E-05</v>
      </c>
      <c r="S16" s="119" t="str">
        <f>IMDIV(1/$D$37,COMPLEX(1-$B16*$B16*$D$40*$D$40,$B16*2*$D$26*$D$40,"j"))</f>
        <v>5.06605918262329E-003-1.01321183662598E-009j</v>
      </c>
      <c r="T16" s="111">
        <f>IMABS($S16)</f>
        <v>0.005066059182623392</v>
      </c>
      <c r="U16" s="111">
        <f t="shared" si="6"/>
        <v>1.0132118365246783E-05</v>
      </c>
      <c r="V16" s="119">
        <f t="shared" si="7"/>
        <v>1.0000000000999799E-10</v>
      </c>
      <c r="W16" s="120">
        <f t="shared" si="8"/>
        <v>3.1830988621561523E-08</v>
      </c>
      <c r="X16" s="22" t="str">
        <f>IMPRODUCT(IMDIV($D$28,COMPLEX(1,$B16*$D$29,"j")),$AW16)</f>
        <v>5000000000</v>
      </c>
      <c r="Y16" s="106">
        <f>IMABS($X16)</f>
        <v>5000000000</v>
      </c>
      <c r="Z16" s="120" t="str">
        <f>IMPRODUCT($S16,$X16)</f>
        <v>25330295.9131165-5.0660591831299j</v>
      </c>
      <c r="AA16" s="197">
        <f>IMABS($Z16)</f>
        <v>25330295.913117006</v>
      </c>
      <c r="AB16" s="111">
        <f t="shared" si="9"/>
        <v>50660.59182623401</v>
      </c>
      <c r="AC16" s="111">
        <f t="shared" si="10"/>
        <v>0.5000000000499909</v>
      </c>
      <c r="AD16" s="120">
        <f t="shared" si="11"/>
        <v>159.15494310780792</v>
      </c>
      <c r="AE16" s="119" t="str">
        <f>IMPRODUCT($L16,$Z16)</f>
        <v>745.694932424354-20243.7251906884j</v>
      </c>
      <c r="AF16" s="111">
        <f>IMABS($AE16)</f>
        <v>20257.45469027033</v>
      </c>
      <c r="AG16" s="111">
        <f t="shared" si="21"/>
        <v>20256.45469027033</v>
      </c>
      <c r="AH16" s="106">
        <f>IF(AND(IMREAL(AE16)&lt;0,IMAGINARY(AE16)&gt;0),180/PI()*IMARGUMENT($AE16)-360,180/PI()*IMARGUMENT($AE16))</f>
        <v>-87.89041476145677</v>
      </c>
      <c r="AI16" s="111" t="str">
        <f>IMDIV($Z16,IMSUM(1,IMPRODUCT($Z16,$L16)))</f>
        <v>46.0908258973043+1249.56646510017j</v>
      </c>
      <c r="AJ16" s="111">
        <f>IMABS($AI16)</f>
        <v>1250.4162166794022</v>
      </c>
      <c r="AK16" s="120">
        <f>180/PI()*IMARGUMENT($AI16)</f>
        <v>87.88757684438423</v>
      </c>
      <c r="AL16" s="144">
        <f t="shared" si="12"/>
        <v>398019.84361358656</v>
      </c>
      <c r="AM16" s="106">
        <f t="shared" si="13"/>
        <v>2.5008324333588043</v>
      </c>
      <c r="AN16" s="119" t="str">
        <f>IMPRODUCT($AI16,COMPLEX(0,$B16,"j"),$D$24)</f>
        <v>-7.85125765386171E-003+2.89597200073714E-004j</v>
      </c>
      <c r="AO16" s="111">
        <f>IMABS(AN16)</f>
        <v>0.007856596800499095</v>
      </c>
      <c r="AP16" s="132">
        <f>180/PI()*IMARGUMENT($AN16)</f>
        <v>177.88757684438423</v>
      </c>
      <c r="AQ16" s="133">
        <f t="shared" si="14"/>
        <v>2.4682226790665073E-05</v>
      </c>
      <c r="AR16" s="133">
        <f t="shared" si="16"/>
        <v>4.902398812474463E-09</v>
      </c>
      <c r="AS16" s="779">
        <f t="shared" si="17"/>
        <v>61.19453179464532</v>
      </c>
      <c r="AT16" s="143">
        <f t="shared" si="18"/>
        <v>2.500000000000001</v>
      </c>
      <c r="AU16" s="120">
        <f t="shared" si="19"/>
        <v>500</v>
      </c>
      <c r="AV16" s="130">
        <f t="shared" si="20"/>
        <v>99999999.99999999</v>
      </c>
      <c r="AW16" s="582" t="str">
        <f>IF($D$10,IMDIV(COMPLEX(1,$B16/$D$49,"j"),COMPLEX(1,$B16/$D$50,"j")),COMPLEX(1,0,"j"))</f>
        <v>1</v>
      </c>
      <c r="AX16" s="184">
        <f>IMABS(AW16)</f>
        <v>1</v>
      </c>
      <c r="AY16" s="111"/>
    </row>
    <row r="17" spans="1:51" ht="15" customHeight="1">
      <c r="A17" s="134">
        <v>0.0006000000000000001</v>
      </c>
      <c r="B17" s="144">
        <f t="shared" si="0"/>
        <v>0.003769911184307752</v>
      </c>
      <c r="C17" s="438" t="s">
        <v>321</v>
      </c>
      <c r="D17" s="454">
        <v>4.4E-06</v>
      </c>
      <c r="E17" s="106" t="s">
        <v>110</v>
      </c>
      <c r="F17" s="610">
        <v>4.4E-06</v>
      </c>
      <c r="G17" s="293" t="str">
        <f t="shared" si="22"/>
        <v>MATCHES</v>
      </c>
      <c r="H17" s="119" t="str">
        <f>IMDIV(COMPLEX(0,$D$15*$D$23*$B17,"j"),COMPLEX(1,$B17*$D$16*$D$15*$D$23,"j"))</f>
        <v>1.8E-019+6E-011j</v>
      </c>
      <c r="I17" s="145">
        <f t="shared" si="15"/>
        <v>1E-05</v>
      </c>
      <c r="J17" s="150" t="str">
        <f>IMDIV(IF($D$12,$D$52/$D$19,$D$53)/$D$21,COMPLEX(1,$B17*IF($D$12,$D$52,$D$53*$D$19)*$D$17,"j"))</f>
        <v>4.41786214823301E-005-1.66549479233535E-003j</v>
      </c>
      <c r="K17" s="106" t="str">
        <f>IMSUM(IF($D$9,$H17,0),IF($D$7,$I17,0),IF($D$8,$J17,0))</f>
        <v>5.41786214823303E-005-1.66549473233535E-003j</v>
      </c>
      <c r="L17" s="139" t="str">
        <f>IMPRODUCT($D$22,$K17)</f>
        <v>2.16714485929321E-005-6.6619789293414E-004j</v>
      </c>
      <c r="M17" s="377">
        <f>IMABS($L17)</f>
        <v>0.0006665502863505528</v>
      </c>
      <c r="N17" s="128">
        <f t="shared" si="1"/>
        <v>1500.2619014315133</v>
      </c>
      <c r="O17" s="498">
        <f t="shared" si="2"/>
        <v>397956.82924211863</v>
      </c>
      <c r="P17" s="111">
        <f t="shared" si="3"/>
        <v>3.0005238028630266</v>
      </c>
      <c r="Q17" s="141">
        <f t="shared" si="4"/>
        <v>0.011311708243194952</v>
      </c>
      <c r="R17" s="141">
        <f t="shared" si="5"/>
        <v>4.2644135419646844E-05</v>
      </c>
      <c r="S17" s="119" t="str">
        <f>IMDIV(1/$D$37,COMPLEX(1-$B17*$B17*$D$40*$D$40,$B17*2*$D$26*$D$40,"j"))</f>
        <v>5.06605918284611E-003-1.21585420405815E-009j</v>
      </c>
      <c r="T17" s="111">
        <f>IMABS($S17)</f>
        <v>0.005066059182846255</v>
      </c>
      <c r="U17" s="111">
        <f t="shared" si="6"/>
        <v>1.013211836569251E-05</v>
      </c>
      <c r="V17" s="119">
        <f t="shared" si="7"/>
        <v>1.4400000002073188E-10</v>
      </c>
      <c r="W17" s="120">
        <f t="shared" si="8"/>
        <v>3.819718634755418E-08</v>
      </c>
      <c r="X17" s="22" t="str">
        <f>IMPRODUCT(IMDIV($D$28,COMPLEX(1,$B17*$D$29,"j")),$AW17)</f>
        <v>5000000000</v>
      </c>
      <c r="Y17" s="106">
        <f>IMABS($X17)</f>
        <v>5000000000</v>
      </c>
      <c r="Z17" s="120" t="str">
        <f>IMPRODUCT($S17,$X17)</f>
        <v>25330295.9142306-6.07927102029075j</v>
      </c>
      <c r="AA17" s="197">
        <f>IMABS($Z17)</f>
        <v>25330295.914231326</v>
      </c>
      <c r="AB17" s="111">
        <f t="shared" si="9"/>
        <v>50660.59182846265</v>
      </c>
      <c r="AC17" s="111">
        <f t="shared" si="10"/>
        <v>0.7200000001036608</v>
      </c>
      <c r="AD17" s="120">
        <f t="shared" si="11"/>
        <v>190.98593173777127</v>
      </c>
      <c r="AE17" s="119" t="str">
        <f>IMPRODUCT($L17,$Z17)</f>
        <v>548.940155751462-16874.9898972053j</v>
      </c>
      <c r="AF17" s="111">
        <f>IMABS($AE17)</f>
        <v>16883.91599497514</v>
      </c>
      <c r="AG17" s="111">
        <f t="shared" si="21"/>
        <v>16882.91599497514</v>
      </c>
      <c r="AH17" s="106">
        <f>IF(AND(IMREAL(AE17)&lt;0,IMAGINARY(AE17)&gt;0),180/PI()*IMARGUMENT($AE17)-360,180/PI()*IMARGUMENT($AE17))</f>
        <v>-88.13683638747638</v>
      </c>
      <c r="AI17" s="111" t="str">
        <f>IMDIV($Z17,IMSUM(1,IMPRODUCT($Z17,$L17)))</f>
        <v>48.866457260125+1499.46295916328j</v>
      </c>
      <c r="AJ17" s="111">
        <f>IMABS($AI17)</f>
        <v>1500.2590098205894</v>
      </c>
      <c r="AK17" s="120">
        <f>180/PI()*IMARGUMENT($AI17)</f>
        <v>88.13343092461594</v>
      </c>
      <c r="AL17" s="144">
        <f t="shared" si="12"/>
        <v>397956.06221849856</v>
      </c>
      <c r="AM17" s="106">
        <f t="shared" si="13"/>
        <v>3.000518019641179</v>
      </c>
      <c r="AN17" s="119" t="str">
        <f>IMPRODUCT($AI17,COMPLEX(0,$B17,"j"),$D$24)</f>
        <v>-1.13056843604097E-002+3.68444407524884E-004j</v>
      </c>
      <c r="AO17" s="111">
        <f>IMABS(AN17)</f>
        <v>0.011311686440962233</v>
      </c>
      <c r="AP17" s="132">
        <f>180/PI()*IMARGUMENT($AN17)</f>
        <v>178.13343092461594</v>
      </c>
      <c r="AQ17" s="133">
        <f t="shared" si="14"/>
        <v>4.264405322716585E-05</v>
      </c>
      <c r="AR17" s="133">
        <f t="shared" si="16"/>
        <v>5.881878491434225E-09</v>
      </c>
      <c r="AS17" s="779">
        <f t="shared" si="17"/>
        <v>51.00411381107069</v>
      </c>
      <c r="AT17" s="143">
        <f t="shared" si="18"/>
        <v>3.0000000000000004</v>
      </c>
      <c r="AU17" s="120">
        <f t="shared" si="19"/>
        <v>500</v>
      </c>
      <c r="AV17" s="130">
        <f t="shared" si="20"/>
        <v>83333333.33333333</v>
      </c>
      <c r="AW17" s="582" t="str">
        <f>IF($D$10,IMDIV(COMPLEX(1,$B17/$D$49,"j"),COMPLEX(1,$B17/$D$50,"j")),COMPLEX(1,0,"j"))</f>
        <v>1</v>
      </c>
      <c r="AX17" s="184">
        <f>IMABS(AW17)</f>
        <v>1</v>
      </c>
      <c r="AY17" s="111"/>
    </row>
    <row r="18" spans="1:51" ht="15" customHeight="1">
      <c r="A18" s="134">
        <v>0.0006999999999999998</v>
      </c>
      <c r="B18" s="144">
        <f t="shared" si="0"/>
        <v>0.004398229715025709</v>
      </c>
      <c r="C18" s="439" t="s">
        <v>511</v>
      </c>
      <c r="D18" s="453">
        <v>10000</v>
      </c>
      <c r="E18" s="106" t="s">
        <v>46</v>
      </c>
      <c r="F18" s="611">
        <v>10000</v>
      </c>
      <c r="G18" s="293" t="str">
        <f t="shared" si="22"/>
        <v>MATCHES</v>
      </c>
      <c r="H18" s="119" t="str">
        <f>IMDIV(COMPLEX(0,$D$15*$D$23*$B18,"j"),COMPLEX(1,$B18*$D$16*$D$15*$D$23,"j"))</f>
        <v>2.45E-019+7E-011j</v>
      </c>
      <c r="I18" s="145">
        <f t="shared" si="15"/>
        <v>1E-05</v>
      </c>
      <c r="J18" s="150" t="str">
        <f>IMDIV(IF($D$12,$D$52/$D$19,$D$53)/$D$21,COMPLEX(1,$B18*IF($D$12,$D$52,$D$53*$D$19)*$D$17,"j"))</f>
        <v>3.24638186283002E-005-1.42783331754195E-003j</v>
      </c>
      <c r="K18" s="106" t="str">
        <f>IMSUM(IF($D$9,$H18,0),IF($D$7,$I18,0),IF($D$8,$J18,0))</f>
        <v>4.24638186283004E-005-1.42783324754195E-003j</v>
      </c>
      <c r="L18" s="139" t="str">
        <f>IMPRODUCT($D$22,$K18)</f>
        <v>1.69855274513202E-005-5.7113329901678E-004j</v>
      </c>
      <c r="M18" s="377">
        <f>IMABS($L18)</f>
        <v>0.0005713858183299532</v>
      </c>
      <c r="N18" s="128">
        <f t="shared" si="1"/>
        <v>1750.1309411612642</v>
      </c>
      <c r="O18" s="498">
        <f t="shared" si="2"/>
        <v>397917.1290626948</v>
      </c>
      <c r="P18" s="111">
        <f t="shared" si="3"/>
        <v>3.5002618823225284</v>
      </c>
      <c r="Q18" s="141">
        <f t="shared" si="4"/>
        <v>0.015394955821202766</v>
      </c>
      <c r="R18" s="141">
        <f t="shared" si="5"/>
        <v>6.771055215432202E-05</v>
      </c>
      <c r="S18" s="119" t="str">
        <f>IMDIV(1/$D$37,COMPLEX(1-$B18*$B18*$D$40*$D$40,$B18*2*$D$26*$D$40,"j"))</f>
        <v>5.06605918310944E-003-1.41849657154867E-009j</v>
      </c>
      <c r="T18" s="111">
        <f>IMABS($S18)</f>
        <v>0.005066059183109638</v>
      </c>
      <c r="U18" s="111">
        <f t="shared" si="6"/>
        <v>1.0132118366219276E-05</v>
      </c>
      <c r="V18" s="119">
        <f t="shared" si="7"/>
        <v>1.9600000003840816E-10</v>
      </c>
      <c r="W18" s="120">
        <f t="shared" si="8"/>
        <v>4.456338407446335E-08</v>
      </c>
      <c r="X18" s="22" t="str">
        <f>IMPRODUCT(IMDIV($D$28,COMPLEX(1,$B18*$D$29,"j")),$AW18)</f>
        <v>5000000000</v>
      </c>
      <c r="Y18" s="106">
        <f>IMABS($X18)</f>
        <v>5000000000</v>
      </c>
      <c r="Z18" s="120" t="str">
        <f>IMPRODUCT($S18,$X18)</f>
        <v>25330295.9155472-7.09248285774335j</v>
      </c>
      <c r="AA18" s="197">
        <f>IMABS($Z18)</f>
        <v>25330295.91554819</v>
      </c>
      <c r="AB18" s="111">
        <f t="shared" si="9"/>
        <v>50660.59183109638</v>
      </c>
      <c r="AC18" s="111">
        <f t="shared" si="10"/>
        <v>0.9800000001920409</v>
      </c>
      <c r="AD18" s="120">
        <f t="shared" si="11"/>
        <v>222.8169203723168</v>
      </c>
      <c r="AE18" s="119" t="str">
        <f>IMPRODUCT($L18,$Z18)</f>
        <v>430.244385870458-14466.9755917873j</v>
      </c>
      <c r="AF18" s="111">
        <f>IMABS($AE18)</f>
        <v>14473.371860245374</v>
      </c>
      <c r="AG18" s="111">
        <f t="shared" si="21"/>
        <v>14472.371860245374</v>
      </c>
      <c r="AH18" s="106">
        <f>IF(AND(IMREAL(AE18)&lt;0,IMAGINARY(AE18)&gt;0),180/PI()*IMARGUMENT($AE18)-360,180/PI()*IMARGUMENT($AE18))</f>
        <v>-88.29653934513603</v>
      </c>
      <c r="AI18" s="111" t="str">
        <f>IMDIV($Z18,IMSUM(1,IMPRODUCT($Z18,$L18)))</f>
        <v>52.1466687693144+1749.35029072458j</v>
      </c>
      <c r="AJ18" s="111">
        <f>IMABS($AI18)</f>
        <v>1750.1273424302326</v>
      </c>
      <c r="AK18" s="120">
        <f>180/PI()*IMARGUMENT($AI18)</f>
        <v>88.29256635701007</v>
      </c>
      <c r="AL18" s="144">
        <f t="shared" si="12"/>
        <v>397916.3108400769</v>
      </c>
      <c r="AM18" s="106">
        <f t="shared" si="13"/>
        <v>3.500254684860465</v>
      </c>
      <c r="AN18" s="119" t="str">
        <f>IMPRODUCT($AI18,COMPLEX(0,$B18,"j"),$D$24)</f>
        <v>-1.53880888613074E-002+4.58706056241604E-004j</v>
      </c>
      <c r="AO18" s="111">
        <f>IMABS(AN18)</f>
        <v>0.015394924165111224</v>
      </c>
      <c r="AP18" s="132">
        <f>180/PI()*IMARGUMENT($AN18)</f>
        <v>178.29256635701006</v>
      </c>
      <c r="AQ18" s="133">
        <f t="shared" si="14"/>
        <v>6.771041292355963E-05</v>
      </c>
      <c r="AR18" s="133">
        <f t="shared" si="16"/>
        <v>6.861439320793968E-09</v>
      </c>
      <c r="AS18" s="779">
        <f t="shared" si="17"/>
        <v>43.722604831734586</v>
      </c>
      <c r="AT18" s="143">
        <f t="shared" si="18"/>
        <v>3.4999999999999987</v>
      </c>
      <c r="AU18" s="120">
        <f t="shared" si="19"/>
        <v>500</v>
      </c>
      <c r="AV18" s="130">
        <f t="shared" si="20"/>
        <v>71428571.42857145</v>
      </c>
      <c r="AW18" s="582" t="str">
        <f>IF($D$10,IMDIV(COMPLEX(1,$B18/$D$49,"j"),COMPLEX(1,$B18/$D$50,"j")),COMPLEX(1,0,"j"))</f>
        <v>1</v>
      </c>
      <c r="AX18" s="184">
        <f>IMABS(AW18)</f>
        <v>1</v>
      </c>
      <c r="AY18" s="111"/>
    </row>
    <row r="19" spans="1:51" ht="15" customHeight="1">
      <c r="A19" s="134">
        <v>0.0008000000000000001</v>
      </c>
      <c r="B19" s="144">
        <f t="shared" si="0"/>
        <v>0.00502654824574367</v>
      </c>
      <c r="C19" s="438" t="s">
        <v>331</v>
      </c>
      <c r="D19" s="455">
        <v>4700000</v>
      </c>
      <c r="E19" s="106" t="s">
        <v>57</v>
      </c>
      <c r="F19" s="612">
        <v>4700000</v>
      </c>
      <c r="G19" s="293" t="str">
        <f t="shared" si="22"/>
        <v>MATCHES</v>
      </c>
      <c r="H19" s="119" t="str">
        <f>IMDIV(COMPLEX(0,$D$15*$D$23*$B19,"j"),COMPLEX(1,$B19*$D$16*$D$15*$D$23,"j"))</f>
        <v>3.2E-019+8E-011j</v>
      </c>
      <c r="I19" s="145">
        <f t="shared" si="15"/>
        <v>1E-05</v>
      </c>
      <c r="J19" s="150" t="str">
        <f>IMDIV(IF($D$12,$D$52/$D$19,$D$53)/$D$21,COMPLEX(1,$B19*IF($D$12,$D$52,$D$53*$D$19)*$D$17,"j"))</f>
        <v>2.48581213648281E-005-1.2495054633886E-003j</v>
      </c>
      <c r="K19" s="106" t="str">
        <f>IMSUM(IF($D$9,$H19,0),IF($D$7,$I19,0),IF($D$8,$J19,0))</f>
        <v>3.48581213648284E-005-1.2495053833886E-003j</v>
      </c>
      <c r="L19" s="139" t="str">
        <f>IMPRODUCT($D$22,$K19)</f>
        <v>1.39432485459314E-005-4.9980215335544E-004j</v>
      </c>
      <c r="M19" s="377">
        <f>IMABS($L19)</f>
        <v>0.0004999966066672338</v>
      </c>
      <c r="N19" s="128">
        <f t="shared" si="1"/>
        <v>2000.0135734231833</v>
      </c>
      <c r="O19" s="498">
        <f t="shared" si="2"/>
        <v>397890.05807648116</v>
      </c>
      <c r="P19" s="111">
        <f t="shared" si="3"/>
        <v>4.000027146846366</v>
      </c>
      <c r="Q19" s="141">
        <f t="shared" si="4"/>
        <v>0.02010632943790766</v>
      </c>
      <c r="R19" s="141">
        <f t="shared" si="5"/>
        <v>0.00010106543496445906</v>
      </c>
      <c r="S19" s="119" t="str">
        <f>IMDIV(1/$D$37,COMPLEX(1-$B19*$B19*$D$40*$D$40,$B19*2*$D$26*$D$40,"j"))</f>
        <v>5.06605918341328E-003-1.62113893910726E-009j</v>
      </c>
      <c r="T19" s="111">
        <f>IMABS($S19)</f>
        <v>0.005066059183413538</v>
      </c>
      <c r="U19" s="111">
        <f t="shared" si="6"/>
        <v>1.0132118366827076E-05</v>
      </c>
      <c r="V19" s="119">
        <f t="shared" si="7"/>
        <v>2.5600000006552283E-10</v>
      </c>
      <c r="W19" s="120">
        <f t="shared" si="8"/>
        <v>5.092958180244185E-08</v>
      </c>
      <c r="X19" s="22" t="str">
        <f>IMPRODUCT(IMDIV($D$28,COMPLEX(1,$B19*$D$29,"j")),$AW19)</f>
        <v>5000000000</v>
      </c>
      <c r="Y19" s="106">
        <f>IMABS($X19)</f>
        <v>5000000000</v>
      </c>
      <c r="Z19" s="120" t="str">
        <f>IMPRODUCT($S19,$X19)</f>
        <v>25330295.9170664-8.1056946955363j</v>
      </c>
      <c r="AA19" s="197">
        <f>IMABS($Z19)</f>
        <v>25330295.91706769</v>
      </c>
      <c r="AB19" s="111">
        <f t="shared" si="9"/>
        <v>50660.59183413538</v>
      </c>
      <c r="AC19" s="111">
        <f t="shared" si="10"/>
        <v>1.2800000003276142</v>
      </c>
      <c r="AD19" s="120">
        <f t="shared" si="11"/>
        <v>254.64790901220928</v>
      </c>
      <c r="AE19" s="119" t="str">
        <f>IMPRODUCT($L19,$Z19)</f>
        <v>353.182560469985-12660.1365575j</v>
      </c>
      <c r="AF19" s="111">
        <f>IMABS($AE19)</f>
        <v>12665.06200441072</v>
      </c>
      <c r="AG19" s="111">
        <f t="shared" si="21"/>
        <v>12664.06200441072</v>
      </c>
      <c r="AH19" s="106">
        <f>IF(AND(IMREAL(AE19)&lt;0,IMAGINARY(AE19)&gt;0),180/PI()*IMARGUMENT($AE19)-360,180/PI()*IMARGUMENT($AE19))</f>
        <v>-88.40202173828833</v>
      </c>
      <c r="AI19" s="111" t="str">
        <f>IMDIV($Z19,IMSUM(1,IMPRODUCT($Z19,$L19)))</f>
        <v>55.9314203784421+1999.22693317173j</v>
      </c>
      <c r="AJ19" s="111">
        <f>IMABS($AI19)</f>
        <v>2000.0091635052052</v>
      </c>
      <c r="AK19" s="120">
        <f>180/PI()*IMARGUMENT($AI19)</f>
        <v>88.39748124883856</v>
      </c>
      <c r="AL19" s="144">
        <f t="shared" si="12"/>
        <v>397889.1807511751</v>
      </c>
      <c r="AM19" s="106">
        <f t="shared" si="13"/>
        <v>4.000018327010411</v>
      </c>
      <c r="AN19" s="119" t="str">
        <f>IMPRODUCT($AI19,COMPLEX(0,$B19,"j"),$D$24)</f>
        <v>-2.00984212675557E-002+5.6228396597042E-004j</v>
      </c>
      <c r="AO19" s="111">
        <f>IMABS(AN19)</f>
        <v>0.020106285104576696</v>
      </c>
      <c r="AP19" s="132">
        <f>180/PI()*IMARGUMENT($AN19)</f>
        <v>178.39748124883857</v>
      </c>
      <c r="AQ19" s="133">
        <f t="shared" si="14"/>
        <v>0.00010106521212083214</v>
      </c>
      <c r="AR19" s="133">
        <f t="shared" si="16"/>
        <v>7.84103411123792E-09</v>
      </c>
      <c r="AS19" s="779">
        <f t="shared" si="17"/>
        <v>38.2602595198552</v>
      </c>
      <c r="AT19" s="143">
        <f t="shared" si="18"/>
        <v>4.000000000000001</v>
      </c>
      <c r="AU19" s="120">
        <f t="shared" si="19"/>
        <v>500</v>
      </c>
      <c r="AV19" s="130">
        <f t="shared" si="20"/>
        <v>62499999.99999999</v>
      </c>
      <c r="AW19" s="582" t="str">
        <f>IF($D$10,IMDIV(COMPLEX(1,$B19/$D$49,"j"),COMPLEX(1,$B19/$D$50,"j")),COMPLEX(1,0,"j"))</f>
        <v>1</v>
      </c>
      <c r="AX19" s="184">
        <f>IMABS(AW19)</f>
        <v>1</v>
      </c>
      <c r="AY19" s="111"/>
    </row>
    <row r="20" spans="1:51" ht="15" customHeight="1">
      <c r="A20" s="134">
        <v>0.0009</v>
      </c>
      <c r="B20" s="144">
        <f t="shared" si="0"/>
        <v>0.005654866776461627</v>
      </c>
      <c r="C20" s="437" t="s">
        <v>47</v>
      </c>
      <c r="D20" s="455">
        <v>1000000</v>
      </c>
      <c r="E20" s="131" t="s">
        <v>57</v>
      </c>
      <c r="F20" s="612">
        <v>1000000</v>
      </c>
      <c r="G20" s="293" t="str">
        <f t="shared" si="22"/>
        <v>MATCHES</v>
      </c>
      <c r="H20" s="119" t="str">
        <f>IMDIV(COMPLEX(0,$D$15*$D$23*$B20,"j"),COMPLEX(1,$B20*$D$16*$D$15*$D$23,"j"))</f>
        <v>4.05E-019+9E-011j</v>
      </c>
      <c r="I20" s="145">
        <f t="shared" si="15"/>
        <v>1E-05</v>
      </c>
      <c r="J20" s="150" t="str">
        <f>IMDIV(IF($D$12,$D$52/$D$19,$D$53)/$D$21,COMPLEX(1,$B20*IF($D$12,$D$52,$D$53*$D$19)*$D$17,"j"))</f>
        <v>1.96426157734439E-005-1.11076375340049E-003j</v>
      </c>
      <c r="K20" s="106" t="str">
        <f>IMSUM(IF($D$9,$H20,0),IF($D$7,$I20,0),IF($D$8,$J20,0))</f>
        <v>2.96426157734443E-005-1.11076366340049E-003j</v>
      </c>
      <c r="L20" s="139" t="str">
        <f>IMPRODUCT($D$22,$K20)</f>
        <v>1.18570463093777E-005-4.44305465360196E-004j</v>
      </c>
      <c r="M20" s="377">
        <f>IMABS($L20)</f>
        <v>0.00044446364991540424</v>
      </c>
      <c r="N20" s="128">
        <f t="shared" si="1"/>
        <v>2249.902776504518</v>
      </c>
      <c r="O20" s="498">
        <f t="shared" si="2"/>
        <v>397870.164840971</v>
      </c>
      <c r="P20" s="111">
        <f t="shared" si="3"/>
        <v>4.499805553009036</v>
      </c>
      <c r="Q20" s="141">
        <f t="shared" si="4"/>
        <v>0.025445800922248338</v>
      </c>
      <c r="R20" s="141">
        <f t="shared" si="5"/>
        <v>0.00014389261423567877</v>
      </c>
      <c r="S20" s="119" t="str">
        <f>IMDIV(1/$D$37,COMPLEX(1-$B20*$B20*$D$40*$D$40,$B20*2*$D$26*$D$40,"j"))</f>
        <v>5.06605918375764E-003-1.82378130674365E-009j</v>
      </c>
      <c r="T20" s="111">
        <f>IMABS($S20)</f>
        <v>0.005066059183757968</v>
      </c>
      <c r="U20" s="111">
        <f t="shared" si="6"/>
        <v>1.0132118367515937E-05</v>
      </c>
      <c r="V20" s="119">
        <f t="shared" si="7"/>
        <v>3.240000001049553E-10</v>
      </c>
      <c r="W20" s="120">
        <f t="shared" si="8"/>
        <v>5.72957795316425E-08</v>
      </c>
      <c r="X20" s="22" t="str">
        <f>IMPRODUCT(IMDIV($D$28,COMPLEX(1,$B20*$D$29,"j")),$AW20)</f>
        <v>5000000000</v>
      </c>
      <c r="Y20" s="106">
        <f>IMABS($X20)</f>
        <v>5000000000</v>
      </c>
      <c r="Z20" s="120" t="str">
        <f>IMPRODUCT($S20,$X20)</f>
        <v>25330295.9187882-9.11890653371825j</v>
      </c>
      <c r="AA20" s="197">
        <f>IMABS($Z20)</f>
        <v>25330295.91878984</v>
      </c>
      <c r="AB20" s="111">
        <f t="shared" si="9"/>
        <v>50660.59183757968</v>
      </c>
      <c r="AC20" s="111">
        <f t="shared" si="10"/>
        <v>1.6200000005247763</v>
      </c>
      <c r="AD20" s="120">
        <f t="shared" si="11"/>
        <v>286.4788976582125</v>
      </c>
      <c r="AE20" s="119" t="str">
        <f>IMPRODUCT($L20,$Z20)</f>
        <v>300.338440159302-11254.389024032j</v>
      </c>
      <c r="AF20" s="111">
        <f>IMABS($AE20)</f>
        <v>11258.39577750264</v>
      </c>
      <c r="AG20" s="111">
        <f t="shared" si="21"/>
        <v>11257.39577750264</v>
      </c>
      <c r="AH20" s="106">
        <f>IF(AND(IMREAL(AE20)&lt;0,IMAGINARY(AE20)&gt;0),180/PI()*IMARGUMENT($AE20)-360,180/PI()*IMARGUMENT($AE20))</f>
        <v>-88.4713482205775</v>
      </c>
      <c r="AI20" s="111" t="str">
        <f>IMDIV($Z20,IMSUM(1,IMPRODUCT($Z20,$L20)))</f>
        <v>60.2206658833791+2249.09136010985j</v>
      </c>
      <c r="AJ20" s="111">
        <f>IMABS($AI20)</f>
        <v>2249.8974364890973</v>
      </c>
      <c r="AK20" s="120">
        <f>180/PI()*IMARGUMENT($AI20)</f>
        <v>88.46624025716449</v>
      </c>
      <c r="AL20" s="144">
        <f t="shared" si="12"/>
        <v>397869.22051891504</v>
      </c>
      <c r="AM20" s="106">
        <f t="shared" si="13"/>
        <v>4.499794872978195</v>
      </c>
      <c r="AN20" s="119" t="str">
        <f>IMPRODUCT($AI20,COMPLEX(0,$B20,"j"),$D$24)</f>
        <v>-2.54366240190242E-002+6.81079685520634E-004j</v>
      </c>
      <c r="AO20" s="111">
        <f>IMABS(AN20)</f>
        <v>0.025445740528096793</v>
      </c>
      <c r="AP20" s="132">
        <f>180/PI()*IMARGUMENT($AN20)</f>
        <v>178.4662402571645</v>
      </c>
      <c r="AQ20" s="133">
        <f t="shared" si="14"/>
        <v>0.00014389227271479753</v>
      </c>
      <c r="AR20" s="133">
        <f t="shared" si="16"/>
        <v>8.820635334342916E-09</v>
      </c>
      <c r="AS20" s="779">
        <f t="shared" si="17"/>
        <v>34.01115550395307</v>
      </c>
      <c r="AT20" s="143">
        <f t="shared" si="18"/>
        <v>4.5</v>
      </c>
      <c r="AU20" s="120">
        <f t="shared" si="19"/>
        <v>500</v>
      </c>
      <c r="AV20" s="130">
        <f t="shared" si="20"/>
        <v>55555555.55555556</v>
      </c>
      <c r="AW20" s="582" t="str">
        <f>IF($D$10,IMDIV(COMPLEX(1,$B20/$D$49,"j"),COMPLEX(1,$B20/$D$50,"j")),COMPLEX(1,0,"j"))</f>
        <v>1</v>
      </c>
      <c r="AX20" s="184">
        <f>IMABS(AW20)</f>
        <v>1</v>
      </c>
      <c r="AY20" s="111"/>
    </row>
    <row r="21" spans="1:51" ht="15" customHeight="1">
      <c r="A21" s="134">
        <v>0.0010000000000000002</v>
      </c>
      <c r="B21" s="144">
        <f t="shared" si="0"/>
        <v>0.0062831853071795875</v>
      </c>
      <c r="C21" s="440" t="s">
        <v>49</v>
      </c>
      <c r="D21" s="456">
        <v>7696.080420304417</v>
      </c>
      <c r="E21" s="131" t="s">
        <v>57</v>
      </c>
      <c r="F21" s="613">
        <v>7696.080420304417</v>
      </c>
      <c r="G21" s="293" t="str">
        <f t="shared" si="22"/>
        <v>MATCHES</v>
      </c>
      <c r="H21" s="119" t="str">
        <f>IMDIV(COMPLEX(0,$D$15*$D$23*$B21,"j"),COMPLEX(1,$B21*$D$16*$D$15*$D$23,"j"))</f>
        <v>5E-019+1E-010j</v>
      </c>
      <c r="I21" s="145">
        <f t="shared" si="15"/>
        <v>1E-05</v>
      </c>
      <c r="J21" s="150" t="str">
        <f>IMDIV(IF($D$12,$D$52/$D$19,$D$53)/$D$21,COMPLEX(1,$B21*IF($D$12,$D$52,$D$53*$D$19)*$D$17,"j"))</f>
        <v>1.59114638883029E-005-9.99746761187034E-004j</v>
      </c>
      <c r="K21" s="106" t="str">
        <f>IMSUM(IF($D$9,$H21,0),IF($D$7,$I21,0),IF($D$8,$J21,0))</f>
        <v>2.59114638883034E-005-9.99746661187034E-004j</v>
      </c>
      <c r="L21" s="139" t="str">
        <f>IMPRODUCT($D$22,$K21)</f>
        <v>1.03645855553214E-005-3.99898664474814E-004j</v>
      </c>
      <c r="M21" s="377">
        <f>IMABS($L21)</f>
        <v>0.00040003295674540803</v>
      </c>
      <c r="N21" s="128">
        <f t="shared" si="1"/>
        <v>2499.7940373108495</v>
      </c>
      <c r="O21" s="498">
        <f t="shared" si="2"/>
        <v>397854.57774966746</v>
      </c>
      <c r="P21" s="111">
        <f t="shared" si="3"/>
        <v>4.999588074621699</v>
      </c>
      <c r="Q21" s="141">
        <f t="shared" si="4"/>
        <v>0.031413338332413346</v>
      </c>
      <c r="R21" s="141">
        <f t="shared" si="5"/>
        <v>0.00019737582585968087</v>
      </c>
      <c r="S21" s="119" t="str">
        <f>IMDIV(1/$D$37,COMPLEX(1-$B21*$B21*$D$40*$D$40,$B21*2*$D$26*$D$40,"j"))</f>
        <v>5.0660591841425E-003-2.02642367446757E-009j</v>
      </c>
      <c r="T21" s="111">
        <f>IMABS($S21)</f>
        <v>0.005066059184142905</v>
      </c>
      <c r="U21" s="111">
        <f t="shared" si="6"/>
        <v>1.013211836828581E-05</v>
      </c>
      <c r="V21" s="119">
        <f t="shared" si="7"/>
        <v>4.0000000015996796E-10</v>
      </c>
      <c r="W21" s="120">
        <f t="shared" si="8"/>
        <v>6.366197726221782E-08</v>
      </c>
      <c r="X21" s="22" t="str">
        <f>IMPRODUCT(IMDIV($D$28,COMPLEX(1,$B21*$D$29,"j")),$AW21)</f>
        <v>5000000000</v>
      </c>
      <c r="Y21" s="106">
        <f>IMABS($X21)</f>
        <v>5000000000</v>
      </c>
      <c r="Z21" s="120" t="str">
        <f>IMPRODUCT($S21,$X21)</f>
        <v>25330295.9207125-10.1321183723379j</v>
      </c>
      <c r="AA21" s="197">
        <f>IMABS($Z21)</f>
        <v>25330295.920714527</v>
      </c>
      <c r="AB21" s="111">
        <f t="shared" si="9"/>
        <v>50660.59184142906</v>
      </c>
      <c r="AC21" s="111">
        <f t="shared" si="10"/>
        <v>2.00000000079984</v>
      </c>
      <c r="AD21" s="120">
        <f t="shared" si="11"/>
        <v>318.30988631108914</v>
      </c>
      <c r="AE21" s="119" t="str">
        <f>IMPRODUCT($L21,$Z21)</f>
        <v>262.533967391228-10129.55161446j</v>
      </c>
      <c r="AF21" s="111">
        <f>IMABS($AE21)</f>
        <v>10132.953172399613</v>
      </c>
      <c r="AG21" s="111">
        <f t="shared" si="21"/>
        <v>10131.953172399613</v>
      </c>
      <c r="AH21" s="106">
        <f>IF(AND(IMREAL(AE21)&lt;0,IMAGINARY(AE21)&gt;0),180/PI()*IMARGUMENT($AE21)-360,180/PI()*IMARGUMENT($AE21))</f>
        <v>-88.5153615680165</v>
      </c>
      <c r="AI21" s="111" t="str">
        <f>IMDIV($Z21,IMSUM(1,IMPRODUCT($Z21,$L21)))</f>
        <v>65.014352923711+2498.94204539266j</v>
      </c>
      <c r="AJ21" s="111">
        <f>IMABS($AI21)</f>
        <v>2499.7876334435573</v>
      </c>
      <c r="AK21" s="120">
        <f>180/PI()*IMARGUMENT($AI21)</f>
        <v>88.50968616141914</v>
      </c>
      <c r="AL21" s="144">
        <f t="shared" si="12"/>
        <v>397853.558542533</v>
      </c>
      <c r="AM21" s="106">
        <f t="shared" si="13"/>
        <v>4.999575266887114</v>
      </c>
      <c r="AN21" s="119" t="str">
        <f>IMPRODUCT($AI21,COMPLEX(0,$B21,"j"),$D$24)</f>
        <v>-3.14026318862089E-002+8.16994454092099E-004j</v>
      </c>
      <c r="AO21" s="111">
        <f>IMABS(AN21)</f>
        <v>0.031413257859043545</v>
      </c>
      <c r="AP21" s="132">
        <f>180/PI()*IMARGUMENT($AN21)</f>
        <v>178.50968616141913</v>
      </c>
      <c r="AQ21" s="133">
        <f t="shared" si="14"/>
        <v>0.0001973753202305863</v>
      </c>
      <c r="AR21" s="133">
        <f t="shared" si="16"/>
        <v>9.800225297707858E-09</v>
      </c>
      <c r="AS21" s="779">
        <f t="shared" si="17"/>
        <v>30.611541152035144</v>
      </c>
      <c r="AT21" s="143">
        <f t="shared" si="18"/>
        <v>5.000000000000002</v>
      </c>
      <c r="AU21" s="120">
        <f t="shared" si="19"/>
        <v>500</v>
      </c>
      <c r="AV21" s="130">
        <f t="shared" si="20"/>
        <v>49999999.99999999</v>
      </c>
      <c r="AW21" s="582" t="str">
        <f>IF($D$10,IMDIV(COMPLEX(1,$B21/$D$49,"j"),COMPLEX(1,$B21/$D$50,"j")),COMPLEX(1,0,"j"))</f>
        <v>1</v>
      </c>
      <c r="AX21" s="184">
        <f>IMABS(AW21)</f>
        <v>1</v>
      </c>
      <c r="AY21" s="111"/>
    </row>
    <row r="22" spans="1:51" ht="15" customHeight="1">
      <c r="A22" s="134">
        <v>0.0015</v>
      </c>
      <c r="B22" s="144">
        <f t="shared" si="0"/>
        <v>0.00942477796076938</v>
      </c>
      <c r="C22" s="437" t="s">
        <v>332</v>
      </c>
      <c r="D22" s="457">
        <v>0.4</v>
      </c>
      <c r="E22" s="274" t="s">
        <v>30</v>
      </c>
      <c r="F22" s="614">
        <v>0.4</v>
      </c>
      <c r="G22" s="293" t="str">
        <f t="shared" si="22"/>
        <v>MATCHES</v>
      </c>
      <c r="H22" s="119" t="str">
        <f>IMDIV(COMPLEX(0,$D$15*$D$23*$B22,"j"),COMPLEX(1,$B22*$D$16*$D$15*$D$23,"j"))</f>
        <v>1.125E-018+1.5E-010j</v>
      </c>
      <c r="I22" s="145">
        <f t="shared" si="15"/>
        <v>1E-05</v>
      </c>
      <c r="J22" s="150" t="str">
        <f>IMDIV(IF($D$12,$D$52/$D$19,$D$53)/$D$21,COMPLEX(1,$B22*IF($D$12,$D$52,$D$53*$D$19)*$D$17,"j"))</f>
        <v>7.07275678176341E-006-6.6659162238646E-004j</v>
      </c>
      <c r="K22" s="106" t="str">
        <f>IMSUM(IF($D$9,$H22,0),IF($D$7,$I22,0),IF($D$8,$J22,0))</f>
        <v>1.70727567817645E-005-6.6659147238646E-004j</v>
      </c>
      <c r="L22" s="139" t="str">
        <f>IMPRODUCT($D$22,$K22)</f>
        <v>6.8291027127058E-006-2.66636588954584E-004j</v>
      </c>
      <c r="M22" s="377">
        <f>IMABS($L22)</f>
        <v>0.00026672402818868135</v>
      </c>
      <c r="N22" s="128">
        <f t="shared" si="1"/>
        <v>3749.193527073598</v>
      </c>
      <c r="O22" s="498">
        <f t="shared" si="2"/>
        <v>397801.78829460056</v>
      </c>
      <c r="P22" s="111">
        <f t="shared" si="3"/>
        <v>7.498387054147196</v>
      </c>
      <c r="Q22" s="141">
        <f t="shared" si="4"/>
        <v>0.07067063304924492</v>
      </c>
      <c r="R22" s="141">
        <f t="shared" si="5"/>
        <v>0.0006660550248361437</v>
      </c>
      <c r="S22" s="119" t="str">
        <f>IMDIV(1/$D$37,COMPLEX(1-$B22*$B22*$D$40*$D$40,$B22*2*$D$26*$D$40,"j"))</f>
        <v>5.06605918667452E-003-3.03963551474038E-009j</v>
      </c>
      <c r="T22" s="111">
        <f>IMABS($S22)</f>
        <v>0.005066059186675431</v>
      </c>
      <c r="U22" s="111">
        <f t="shared" si="6"/>
        <v>1.0132118373350861E-05</v>
      </c>
      <c r="V22" s="119">
        <f t="shared" si="7"/>
        <v>9.00000000809838E-10</v>
      </c>
      <c r="W22" s="120">
        <f t="shared" si="8"/>
        <v>9.549296594106369E-08</v>
      </c>
      <c r="X22" s="22" t="str">
        <f>IMPRODUCT(IMDIV($D$28,COMPLEX(1,$B22*$D$29,"j")),$AW22)</f>
        <v>5000000000</v>
      </c>
      <c r="Y22" s="106">
        <f>IMABS($X22)</f>
        <v>5000000000</v>
      </c>
      <c r="Z22" s="120" t="str">
        <f>IMPRODUCT($S22,$X22)</f>
        <v>25330295.9333726-15.1981775737019j</v>
      </c>
      <c r="AA22" s="197">
        <f>IMABS($Z22)</f>
        <v>25330295.933377154</v>
      </c>
      <c r="AB22" s="111">
        <f t="shared" si="9"/>
        <v>50660.59186675431</v>
      </c>
      <c r="AC22" s="111">
        <f t="shared" si="10"/>
        <v>4.50000000404919</v>
      </c>
      <c r="AD22" s="120">
        <f t="shared" si="11"/>
        <v>477.4648297053185</v>
      </c>
      <c r="AE22" s="119" t="str">
        <f>IMPRODUCT($L22,$Z22)</f>
        <v>172.979140282009-6753.98380867456j</v>
      </c>
      <c r="AF22" s="111">
        <f>IMABS($AE22)</f>
        <v>6756.198566561734</v>
      </c>
      <c r="AG22" s="111">
        <f t="shared" si="21"/>
        <v>6755.198566561734</v>
      </c>
      <c r="AH22" s="106">
        <f>IF(AND(IMREAL(AE22)&lt;0,IMAGINARY(AE22)&gt;0),180/PI()*IMARGUMENT($AE22)-360,180/PI()*IMARGUMENT($AE22))</f>
        <v>-88.53289424479459</v>
      </c>
      <c r="AI22" s="111" t="str">
        <f>IMDIV($Z22,IMSUM(1,IMPRODUCT($Z22,$L22)))</f>
        <v>96.5471478186026+3747.93595316097j</v>
      </c>
      <c r="AJ22" s="111">
        <f>IMABS($AI22)</f>
        <v>3749.1792782885873</v>
      </c>
      <c r="AK22" s="120">
        <f>180/PI()*IMARGUMENT($AI22)</f>
        <v>88.52438220355248</v>
      </c>
      <c r="AL22" s="144">
        <f t="shared" si="12"/>
        <v>397800.27645155555</v>
      </c>
      <c r="AM22" s="106">
        <f t="shared" si="13"/>
        <v>7.498358556577175</v>
      </c>
      <c r="AN22" s="119" t="str">
        <f>IMPRODUCT($AI22,COMPLEX(0,$B22,"j"),$D$24)</f>
        <v>-7.06469283394534E-002+1.81987086187182E-003j</v>
      </c>
      <c r="AO22" s="111">
        <f>IMABS(AN22)</f>
        <v>0.07067036446597508</v>
      </c>
      <c r="AP22" s="132">
        <f>180/PI()*IMARGUMENT($AN22)</f>
        <v>178.52438220355248</v>
      </c>
      <c r="AQ22" s="133">
        <f t="shared" si="14"/>
        <v>0.0006660524934984612</v>
      </c>
      <c r="AR22" s="133">
        <f t="shared" si="16"/>
        <v>1.4697662547175909E-08</v>
      </c>
      <c r="AS22" s="779">
        <f t="shared" si="17"/>
        <v>20.411408891520896</v>
      </c>
      <c r="AT22" s="143">
        <f t="shared" si="18"/>
        <v>7.500000000000001</v>
      </c>
      <c r="AU22" s="120">
        <f t="shared" si="19"/>
        <v>500</v>
      </c>
      <c r="AV22" s="130">
        <f t="shared" si="20"/>
        <v>33333333.333333336</v>
      </c>
      <c r="AW22" s="582" t="str">
        <f>IF($D$10,IMDIV(COMPLEX(1,$B22/$D$49,"j"),COMPLEX(1,$B22/$D$50,"j")),COMPLEX(1,0,"j"))</f>
        <v>1</v>
      </c>
      <c r="AX22" s="184">
        <f>IMABS(AW22)</f>
        <v>1</v>
      </c>
      <c r="AY22" s="120"/>
    </row>
    <row r="23" spans="1:51" ht="15" customHeight="1">
      <c r="A23" s="134">
        <v>0.0020000000000000005</v>
      </c>
      <c r="B23" s="144">
        <f t="shared" si="0"/>
        <v>0.012566370614359175</v>
      </c>
      <c r="C23" s="464" t="s">
        <v>631</v>
      </c>
      <c r="D23" s="486">
        <v>10</v>
      </c>
      <c r="E23" s="366" t="s">
        <v>584</v>
      </c>
      <c r="F23" s="615">
        <v>10</v>
      </c>
      <c r="G23" s="293" t="str">
        <f t="shared" si="22"/>
        <v>MATCHES</v>
      </c>
      <c r="H23" s="119" t="str">
        <f>IMDIV(COMPLEX(0,$D$15*$D$23*$B23,"j"),COMPLEX(1,$B23*$D$16*$D$15*$D$23,"j"))</f>
        <v>2E-018+2E-010j</v>
      </c>
      <c r="I23" s="145">
        <f t="shared" si="15"/>
        <v>1E-05</v>
      </c>
      <c r="J23" s="150" t="str">
        <f>IMDIV(IF($D$12,$D$52/$D$19,$D$53)/$D$21,COMPLEX(1,$B23*IF($D$12,$D$52,$D$53*$D$19)*$D$17,"j"))</f>
        <v>3.97862162813947E-006-4.99968339135058E-004j</v>
      </c>
      <c r="K23" s="106" t="str">
        <f>IMSUM(IF($D$9,$H23,0),IF($D$7,$I23,0),IF($D$8,$J23,0))</f>
        <v>1.39786216281415E-005-4.99968139135058E-004j</v>
      </c>
      <c r="L23" s="139" t="str">
        <f>IMPRODUCT($D$22,$K23)</f>
        <v>5.5914486512566E-006-1.99987255654023E-004j</v>
      </c>
      <c r="M23" s="377">
        <f>IMABS($L23)</f>
        <v>0.00020006540611021984</v>
      </c>
      <c r="N23" s="128">
        <f t="shared" si="1"/>
        <v>4998.36538181459</v>
      </c>
      <c r="O23" s="498">
        <f t="shared" si="2"/>
        <v>397757.27894760034</v>
      </c>
      <c r="P23" s="111">
        <f t="shared" si="3"/>
        <v>9.99673076362918</v>
      </c>
      <c r="Q23" s="141">
        <f t="shared" si="4"/>
        <v>0.12562262370773009</v>
      </c>
      <c r="R23" s="141">
        <f t="shared" si="5"/>
        <v>0.0015786204470595196</v>
      </c>
      <c r="S23" s="119" t="str">
        <f>IMDIV(1/$D$37,COMPLEX(1-$B23*$B23*$D$40*$D$40,$B23*2*$D$26*$D$40,"j"))</f>
        <v>5.06605919021934E-003-4.05284735866003E-009j</v>
      </c>
      <c r="T23" s="111">
        <f>IMABS($S23)</f>
        <v>0.005066059190220961</v>
      </c>
      <c r="U23" s="111">
        <f t="shared" si="6"/>
        <v>1.0132118380441923E-05</v>
      </c>
      <c r="V23" s="119">
        <f t="shared" si="7"/>
        <v>1.6000000025594882E-09</v>
      </c>
      <c r="W23" s="120">
        <f t="shared" si="8"/>
        <v>1.2732395467719384E-07</v>
      </c>
      <c r="X23" s="22" t="str">
        <f>IMPRODUCT(IMDIV($D$28,COMPLEX(1,$B23*$D$29,"j")),$AW23)</f>
        <v>5000000000</v>
      </c>
      <c r="Y23" s="106">
        <f>IMABS($X23)</f>
        <v>5000000000</v>
      </c>
      <c r="Z23" s="120" t="str">
        <f>IMPRODUCT($S23,$X23)</f>
        <v>25330295.9510967-20.2642367933001j</v>
      </c>
      <c r="AA23" s="197">
        <f>IMABS($Z23)</f>
        <v>25330295.951104805</v>
      </c>
      <c r="AB23" s="111">
        <f t="shared" si="9"/>
        <v>50660.59190220961</v>
      </c>
      <c r="AC23" s="111">
        <f t="shared" si="10"/>
        <v>8.000000012797441</v>
      </c>
      <c r="AD23" s="120">
        <f t="shared" si="11"/>
        <v>636.6197733859692</v>
      </c>
      <c r="AE23" s="119" t="str">
        <f>IMPRODUCT($L23,$Z23)</f>
        <v>141.628996542586-5065.73648547048j</v>
      </c>
      <c r="AF23" s="111">
        <f>IMABS($AE23)</f>
        <v>5067.715946349842</v>
      </c>
      <c r="AG23" s="111">
        <f t="shared" si="21"/>
        <v>5066.715946349842</v>
      </c>
      <c r="AH23" s="106">
        <f>IF(AND(IMREAL(AE23)&lt;0,IMAGINARY(AE23)&gt;0),180/PI()*IMARGUMENT($AE23)-360,180/PI()*IMARGUMENT($AE23))</f>
        <v>-88.39852893194674</v>
      </c>
      <c r="AI23" s="111" t="str">
        <f>IMDIV($Z23,IMSUM(1,IMPRODUCT($Z23,$L23)))</f>
        <v>140.679590497923+4996.35759476724j</v>
      </c>
      <c r="AJ23" s="111">
        <f>IMABS($AI23)</f>
        <v>4998.337719879574</v>
      </c>
      <c r="AK23" s="120">
        <f>180/PI()*IMARGUMENT($AI23)</f>
        <v>88.38718153784187</v>
      </c>
      <c r="AL23" s="144">
        <f t="shared" si="12"/>
        <v>397755.0776807537</v>
      </c>
      <c r="AM23" s="106">
        <f t="shared" si="13"/>
        <v>9.996675439759148</v>
      </c>
      <c r="AN23" s="119" t="str">
        <f>IMPRODUCT($AI23,COMPLEX(0,$B23,"j"),$D$24)</f>
        <v>-0.125572162515427+3.53566374414637E-003j</v>
      </c>
      <c r="AO23" s="111">
        <f>IMABS(AN23)</f>
        <v>0.12562192848747578</v>
      </c>
      <c r="AP23" s="132">
        <f>180/PI()*IMARGUMENT($AN23)</f>
        <v>178.38718153784185</v>
      </c>
      <c r="AQ23" s="133">
        <f t="shared" si="14"/>
        <v>0.0015786117106641412</v>
      </c>
      <c r="AR23" s="133">
        <f t="shared" si="16"/>
        <v>1.9593724607237445E-08</v>
      </c>
      <c r="AS23" s="779">
        <f t="shared" si="17"/>
        <v>15.311024627200654</v>
      </c>
      <c r="AT23" s="143">
        <f t="shared" si="18"/>
        <v>10.000000000000004</v>
      </c>
      <c r="AU23" s="120">
        <f t="shared" si="19"/>
        <v>500</v>
      </c>
      <c r="AV23" s="130">
        <f t="shared" si="20"/>
        <v>24999999.999999996</v>
      </c>
      <c r="AW23" s="582" t="str">
        <f>IF($D$10,IMDIV(COMPLEX(1,$B23/$D$49,"j"),COMPLEX(1,$B23/$D$50,"j")),COMPLEX(1,0,"j"))</f>
        <v>1</v>
      </c>
      <c r="AX23" s="184">
        <f>IMABS(AW23)</f>
        <v>1</v>
      </c>
      <c r="AY23" s="111"/>
    </row>
    <row r="24" spans="1:51" ht="15" customHeight="1">
      <c r="A24" s="134">
        <v>0.003</v>
      </c>
      <c r="B24" s="144">
        <f t="shared" si="0"/>
        <v>0.01884955592153876</v>
      </c>
      <c r="C24" s="441" t="s">
        <v>422</v>
      </c>
      <c r="D24" s="607">
        <v>0.002</v>
      </c>
      <c r="E24" s="372" t="s">
        <v>50</v>
      </c>
      <c r="F24" s="616">
        <v>0.002</v>
      </c>
      <c r="G24" s="293" t="str">
        <f t="shared" si="22"/>
        <v>MATCHES</v>
      </c>
      <c r="H24" s="119" t="str">
        <f>IMDIV(COMPLEX(0,$D$15*$D$23*$B24,"j"),COMPLEX(1,$B24*$D$16*$D$15*$D$23,"j"))</f>
        <v>4.5E-018+3E-010j</v>
      </c>
      <c r="I24" s="145">
        <f t="shared" si="15"/>
        <v>1E-05</v>
      </c>
      <c r="J24" s="150" t="str">
        <f>IMDIV(IF($D$12,$D$52/$D$19,$D$53)/$D$21,COMPLEX(1,$B24*IF($D$12,$D$52,$D$53*$D$19)*$D$17,"j"))</f>
        <v>1.76833848709089E-006-3.3332395200629E-004j</v>
      </c>
      <c r="K24" s="106" t="str">
        <f>IMSUM(IF($D$9,$H24,0),IF($D$7,$I24,0),IF($D$8,$J24,0))</f>
        <v>1.17683384870954E-005-3.3332365200629E-004j</v>
      </c>
      <c r="L24" s="139" t="str">
        <f>IMPRODUCT($D$22,$K24)</f>
        <v>4.70733539483816E-006-1.33329460802516E-004j</v>
      </c>
      <c r="M24" s="377">
        <f>IMABS($L24)</f>
        <v>0.00013341253361063624</v>
      </c>
      <c r="N24" s="128">
        <f t="shared" si="1"/>
        <v>7495.5476291192745</v>
      </c>
      <c r="O24" s="498">
        <f t="shared" si="2"/>
        <v>397651.1521183564</v>
      </c>
      <c r="P24" s="111">
        <f t="shared" si="3"/>
        <v>14.991095258238548</v>
      </c>
      <c r="Q24" s="141">
        <f t="shared" si="4"/>
        <v>0.282575488395282</v>
      </c>
      <c r="R24" s="141">
        <f t="shared" si="5"/>
        <v>0.005326422470562995</v>
      </c>
      <c r="S24" s="119" t="str">
        <f>IMDIV(1/$D$37,COMPLEX(1-$B24*$B24*$D$40*$D$40,$B24*2*$D$26*$D$40,"j"))</f>
        <v>5.06605920034741E-003-6.07927106230226E-009j</v>
      </c>
      <c r="T24" s="111">
        <f>IMABS($S24)</f>
        <v>0.005066059200351057</v>
      </c>
      <c r="U24" s="111">
        <f t="shared" si="6"/>
        <v>1.0132118400702116E-05</v>
      </c>
      <c r="V24" s="119">
        <f t="shared" si="7"/>
        <v>3.600000012957411E-09</v>
      </c>
      <c r="W24" s="120">
        <f t="shared" si="8"/>
        <v>1.909859323976864E-07</v>
      </c>
      <c r="X24" s="22" t="str">
        <f>IMPRODUCT(IMDIV($D$28,COMPLEX(1,$B24*$D$29,"j")),$AW24)</f>
        <v>5000000000</v>
      </c>
      <c r="Y24" s="106">
        <f>IMABS($X24)</f>
        <v>5000000000</v>
      </c>
      <c r="Z24" s="120" t="str">
        <f>IMPRODUCT($S24,$X24)</f>
        <v>25330296.0017371-30.3963553115113j</v>
      </c>
      <c r="AA24" s="197">
        <f>IMABS($Z24)</f>
        <v>25330296.001755334</v>
      </c>
      <c r="AB24" s="111">
        <f t="shared" si="9"/>
        <v>50660.59200351067</v>
      </c>
      <c r="AC24" s="111">
        <f t="shared" si="10"/>
        <v>18.000000064787084</v>
      </c>
      <c r="AD24" s="120">
        <f t="shared" si="11"/>
        <v>954.9296619884336</v>
      </c>
      <c r="AE24" s="119" t="str">
        <f>IMPRODUCT($L24,$Z24)</f>
        <v>119.234146201041-3377.27485096557j</v>
      </c>
      <c r="AF24" s="111">
        <f>IMABS($AE24)</f>
        <v>3379.378966701546</v>
      </c>
      <c r="AG24" s="111">
        <f t="shared" si="21"/>
        <v>3378.378966701546</v>
      </c>
      <c r="AH24" s="106">
        <f>IF(AND(IMREAL(AE24)&lt;0,IMAGINARY(AE24)&gt;0),180/PI()*IMARGUMENT($AE24)-360,180/PI()*IMARGUMENT($AE24))</f>
        <v>-87.97802151333532</v>
      </c>
      <c r="AI24" s="111" t="str">
        <f>IMDIV($Z24,IMSUM(1,IMPRODUCT($Z24,$L24)))</f>
        <v>266.68576031826+7490.72325570673j</v>
      </c>
      <c r="AJ24" s="111">
        <f>IMABS($AI24)</f>
        <v>7495.46904391861</v>
      </c>
      <c r="AK24" s="120">
        <f>180/PI()*IMARGUMENT($AI24)</f>
        <v>87.96100896301868</v>
      </c>
      <c r="AL24" s="144">
        <f t="shared" si="12"/>
        <v>397646.9830439765</v>
      </c>
      <c r="AM24" s="106">
        <f t="shared" si="13"/>
        <v>14.99093808783722</v>
      </c>
      <c r="AN24" s="119" t="str">
        <f>IMPRODUCT($AI24,COMPLEX(0,$B24,"j"),$D$24)</f>
        <v>-0.28239361380243+1.00538163051943E-002j</v>
      </c>
      <c r="AO24" s="111">
        <f>IMABS(AN24)</f>
        <v>0.2825725258030132</v>
      </c>
      <c r="AP24" s="132">
        <f>180/PI()*IMARGUMENT($AN24)</f>
        <v>177.96100896301866</v>
      </c>
      <c r="AQ24" s="133">
        <f t="shared" si="14"/>
        <v>0.0053263666270143475</v>
      </c>
      <c r="AR24" s="133">
        <f t="shared" si="16"/>
        <v>2.9379849283759515E-08</v>
      </c>
      <c r="AS24" s="779">
        <f t="shared" si="17"/>
        <v>10.211080291886756</v>
      </c>
      <c r="AT24" s="143">
        <f t="shared" si="18"/>
        <v>15.000000000000002</v>
      </c>
      <c r="AU24" s="120">
        <f t="shared" si="19"/>
        <v>500</v>
      </c>
      <c r="AV24" s="130">
        <f t="shared" si="20"/>
        <v>16666666.666666668</v>
      </c>
      <c r="AW24" s="582" t="str">
        <f>IF($D$10,IMDIV(COMPLEX(1,$B24/$D$49,"j"),COMPLEX(1,$B24/$D$50,"j")),COMPLEX(1,0,"j"))</f>
        <v>1</v>
      </c>
      <c r="AX24" s="184">
        <f>IMABS(AW24)</f>
        <v>1</v>
      </c>
      <c r="AY24" s="111"/>
    </row>
    <row r="25" spans="1:51" ht="15" customHeight="1">
      <c r="A25" s="134">
        <v>0.004000000000000001</v>
      </c>
      <c r="B25" s="144">
        <f t="shared" si="0"/>
        <v>0.02513274122871835</v>
      </c>
      <c r="C25" s="505"/>
      <c r="D25" s="506"/>
      <c r="E25" s="194"/>
      <c r="F25" s="617"/>
      <c r="G25" s="293" t="str">
        <f>IF(D25=F25,"MATCHES","")</f>
        <v>MATCHES</v>
      </c>
      <c r="H25" s="119" t="str">
        <f>IMDIV(COMPLEX(0,$D$15*$D$23*$B25,"j"),COMPLEX(1,$B25*$D$16*$D$15*$D$23,"j"))</f>
        <v>8E-018+4E-010j</v>
      </c>
      <c r="I25" s="145">
        <f t="shared" si="15"/>
        <v>1E-05</v>
      </c>
      <c r="J25" s="150" t="str">
        <f>IMDIV(IF($D$12,$D$52/$D$19,$D$53)/$D$21,COMPLEX(1,$B25*IF($D$12,$D$52,$D$53*$D$19)*$D$17,"j"))</f>
        <v>9.94702646754101E-007-2.49996042203921E-004j</v>
      </c>
      <c r="K25" s="106" t="str">
        <f>IMSUM(IF($D$9,$H25,0),IF($D$7,$I25,0),IF($D$8,$J25,0))</f>
        <v>1.09947026467621E-005-2.49995642203921E-004j</v>
      </c>
      <c r="L25" s="139" t="str">
        <f>IMPRODUCT($D$22,$K25)</f>
        <v>4.39788105870484E-006-9.99982568815684E-005j</v>
      </c>
      <c r="M25" s="377">
        <f>IMABS($L25)</f>
        <v>0.00010009491863805403</v>
      </c>
      <c r="N25" s="128">
        <f t="shared" si="1"/>
        <v>9990.517137198816</v>
      </c>
      <c r="O25" s="498">
        <f t="shared" si="2"/>
        <v>397510.0466073706</v>
      </c>
      <c r="P25" s="111">
        <f t="shared" si="3"/>
        <v>19.981034274397633</v>
      </c>
      <c r="Q25" s="141">
        <f t="shared" si="4"/>
        <v>0.5021781639005878</v>
      </c>
      <c r="R25" s="141">
        <f t="shared" si="5"/>
        <v>0.012621113844026383</v>
      </c>
      <c r="S25" s="119" t="str">
        <f>IMDIV(1/$D$37,COMPLEX(1-$B25*$B25*$D$40*$D$40,$B25*2*$D$26*$D$40,"j"))</f>
        <v>5.0660592145267E-003-8.10569479511916E-009j</v>
      </c>
      <c r="T25" s="111">
        <f>IMABS($S25)</f>
        <v>0.005066059214533183</v>
      </c>
      <c r="U25" s="111">
        <f t="shared" si="6"/>
        <v>1.0132118429066367E-05</v>
      </c>
      <c r="V25" s="119">
        <f t="shared" si="7"/>
        <v>6.4000000409518115E-09</v>
      </c>
      <c r="W25" s="120">
        <f t="shared" si="8"/>
        <v>2.546479105764533E-07</v>
      </c>
      <c r="X25" s="22" t="str">
        <f>IMPRODUCT(IMDIV($D$28,COMPLEX(1,$B25*$D$29,"j")),$AW25)</f>
        <v>5000000000</v>
      </c>
      <c r="Y25" s="106">
        <f>IMABS($X25)</f>
        <v>5000000000</v>
      </c>
      <c r="Z25" s="120" t="str">
        <f>IMPRODUCT($S25,$X25)</f>
        <v>25330296.0726335-40.5284739755958j</v>
      </c>
      <c r="AA25" s="197">
        <f>IMABS($Z25)</f>
        <v>25330296.072665922</v>
      </c>
      <c r="AB25" s="111">
        <f t="shared" si="9"/>
        <v>50660.592145331844</v>
      </c>
      <c r="AC25" s="111">
        <f t="shared" si="10"/>
        <v>32.00000020475906</v>
      </c>
      <c r="AD25" s="120">
        <f t="shared" si="11"/>
        <v>1273.2395528822667</v>
      </c>
      <c r="AE25" s="119" t="str">
        <f>IMPRODUCT($L25,$Z25)</f>
        <v>111.395576532469-2532.9856317968j</v>
      </c>
      <c r="AF25" s="111">
        <f>IMABS($AE25)</f>
        <v>2535.4339244713196</v>
      </c>
      <c r="AG25" s="111">
        <f t="shared" si="21"/>
        <v>2534.4339244713196</v>
      </c>
      <c r="AH25" s="106">
        <f>IF(AND(IMREAL(AE25)&lt;0,IMAGINARY(AE25)&gt;0),180/PI()*IMARGUMENT($AE25)-360,180/PI()*IMARGUMENT($AE25))</f>
        <v>-87.4818702621395</v>
      </c>
      <c r="AI25" s="111" t="str">
        <f>IMDIV($Z25,IMSUM(1,IMPRODUCT($Z25,$L25)))</f>
        <v>442.879351363856+9980.52182975457j</v>
      </c>
      <c r="AJ25" s="111">
        <f>IMABS($AI25)</f>
        <v>9990.343243055866</v>
      </c>
      <c r="AK25" s="120">
        <f>180/PI()*IMARGUMENT($AI25)</f>
        <v>87.45920278537382</v>
      </c>
      <c r="AL25" s="144">
        <f t="shared" si="12"/>
        <v>397503.1275792643</v>
      </c>
      <c r="AM25" s="106">
        <f t="shared" si="13"/>
        <v>19.980686486111733</v>
      </c>
      <c r="AN25" s="119" t="str">
        <f>IMPRODUCT($AI25,COMPLEX(0,$B25,"j"),$D$24)</f>
        <v>-0.501675744949593+2.22615442667409E-002j</v>
      </c>
      <c r="AO25" s="111">
        <f>IMABS(AN25)</f>
        <v>0.5021694230275965</v>
      </c>
      <c r="AP25" s="132">
        <f>180/PI()*IMARGUMENT($AN25)</f>
        <v>177.4592027853738</v>
      </c>
      <c r="AQ25" s="133">
        <f t="shared" si="14"/>
        <v>0.012620894161927366</v>
      </c>
      <c r="AR25" s="133">
        <f t="shared" si="16"/>
        <v>3.9155376327183135E-08</v>
      </c>
      <c r="AS25" s="779">
        <f t="shared" si="17"/>
        <v>7.661783084223065</v>
      </c>
      <c r="AT25" s="143">
        <f t="shared" si="18"/>
        <v>20.000000000000007</v>
      </c>
      <c r="AU25" s="120">
        <f t="shared" si="19"/>
        <v>500</v>
      </c>
      <c r="AV25" s="130">
        <f t="shared" si="20"/>
        <v>12499999.999999998</v>
      </c>
      <c r="AW25" s="582" t="str">
        <f>IF($D$10,IMDIV(COMPLEX(1,$B25/$D$49,"j"),COMPLEX(1,$B25/$D$50,"j")),COMPLEX(1,0,"j"))</f>
        <v>1</v>
      </c>
      <c r="AX25" s="184">
        <f>IMABS(AW25)</f>
        <v>1</v>
      </c>
      <c r="AY25" s="111"/>
    </row>
    <row r="26" spans="1:51" ht="15" customHeight="1">
      <c r="A26" s="136">
        <v>0.005</v>
      </c>
      <c r="B26" s="144">
        <f t="shared" si="0"/>
        <v>0.031415926535897934</v>
      </c>
      <c r="C26" s="449" t="s">
        <v>371</v>
      </c>
      <c r="D26" s="457">
        <v>0.01</v>
      </c>
      <c r="E26" s="274"/>
      <c r="F26" s="614">
        <v>0.01</v>
      </c>
      <c r="G26" s="293" t="str">
        <f>IF(D26=F26,"MATCHES","")</f>
        <v>MATCHES</v>
      </c>
      <c r="H26" s="119" t="str">
        <f>IMDIV(COMPLEX(0,$D$15*$D$23*$B26,"j"),COMPLEX(1,$B26*$D$16*$D$15*$D$23,"j"))</f>
        <v>1.25E-017+5E-010j</v>
      </c>
      <c r="I26" s="145">
        <f t="shared" si="15"/>
        <v>1E-05</v>
      </c>
      <c r="J26" s="150" t="str">
        <f>IMDIV(IF($D$12,$D$52/$D$19,$D$53)/$D$21,COMPLEX(1,$B26*IF($D$12,$D$52,$D$53*$D$19)*$D$17,"j"))</f>
        <v>6.36613322126051E-007-1.99997973596859E-004j</v>
      </c>
      <c r="K26" s="106" t="str">
        <f>IMSUM(IF($D$9,$H26,0),IF($D$7,$I26,0),IF($D$8,$J26,0))</f>
        <v>1.06366133221386E-005-1.99997473596859E-004j</v>
      </c>
      <c r="L26" s="139" t="str">
        <f>IMPRODUCT($D$22,$K26)</f>
        <v>4.25464532885544E-006-7.99989894387436E-005j</v>
      </c>
      <c r="M26" s="377">
        <f>IMABS($L26)</f>
        <v>8.011204852014809E-05</v>
      </c>
      <c r="N26" s="128">
        <f t="shared" si="1"/>
        <v>12482.516905662464</v>
      </c>
      <c r="O26" s="498">
        <f t="shared" si="2"/>
        <v>397330.85355286615</v>
      </c>
      <c r="P26" s="111">
        <f t="shared" si="3"/>
        <v>24.96503381132493</v>
      </c>
      <c r="Q26" s="141">
        <f t="shared" si="4"/>
        <v>0.784299668182792</v>
      </c>
      <c r="R26" s="141">
        <f t="shared" si="5"/>
        <v>0.024639500757759718</v>
      </c>
      <c r="S26" s="119" t="str">
        <f>IMDIV(1/$D$37,COMPLEX(1-$B26*$B26*$D$40*$D$40,$B26*2*$D$26*$D$40,"j"))</f>
        <v>5.06605923275722E-003-1.01321185668356E-008j</v>
      </c>
      <c r="T26" s="111">
        <f>IMABS($S26)</f>
        <v>0.005066059232767352</v>
      </c>
      <c r="U26" s="111">
        <f t="shared" si="6"/>
        <v>1.0132118465534703E-05</v>
      </c>
      <c r="V26" s="119">
        <f t="shared" si="7"/>
        <v>1.0000000099980007E-08</v>
      </c>
      <c r="W26" s="120">
        <f t="shared" si="8"/>
        <v>3.1830988936625315E-07</v>
      </c>
      <c r="X26" s="22" t="str">
        <f>IMPRODUCT(IMDIV($D$28,COMPLEX(1,$B26*$D$29,"j")),$AW26)</f>
        <v>5000000000</v>
      </c>
      <c r="Y26" s="106">
        <f>IMABS($X26)</f>
        <v>5000000000</v>
      </c>
      <c r="Z26" s="120" t="str">
        <f>IMPRODUCT($S26,$X26)</f>
        <v>25330296.1637861-50.660592834178j</v>
      </c>
      <c r="AA26" s="197">
        <f>IMABS($Z26)</f>
        <v>25330296.16383676</v>
      </c>
      <c r="AB26" s="111">
        <f t="shared" si="9"/>
        <v>50660.59232767352</v>
      </c>
      <c r="AC26" s="111">
        <f t="shared" si="10"/>
        <v>50.00000049990005</v>
      </c>
      <c r="AD26" s="120">
        <f t="shared" si="11"/>
        <v>1591.5494468312659</v>
      </c>
      <c r="AE26" s="119" t="str">
        <f>IMPRODUCT($L26,$Z26)</f>
        <v>107.767373455546-2026.39831082983j</v>
      </c>
      <c r="AF26" s="111">
        <f>IMABS($AE26)</f>
        <v>2029.261915307015</v>
      </c>
      <c r="AG26" s="111">
        <f t="shared" si="21"/>
        <v>2028.261915307015</v>
      </c>
      <c r="AH26" s="106">
        <f>IF(AND(IMREAL(AE26)&lt;0,IMAGINARY(AE26)&gt;0),180/PI()*IMARGUMENT($AE26)-360,180/PI()*IMARGUMENT($AE26))</f>
        <v>-86.95577899035688</v>
      </c>
      <c r="AI26" s="111" t="str">
        <f>IMDIV($Z26,IMSUM(1,IMPRODUCT($Z26,$L26)))</f>
        <v>669.046102655264+12464.2453763872j</v>
      </c>
      <c r="AJ26" s="111">
        <f>IMABS($AI26)</f>
        <v>12482.188729957095</v>
      </c>
      <c r="AK26" s="120">
        <f>180/PI()*IMARGUMENT($AI26)</f>
        <v>86.92747019483612</v>
      </c>
      <c r="AL26" s="144">
        <f t="shared" si="12"/>
        <v>397320.40739572374</v>
      </c>
      <c r="AM26" s="106">
        <f t="shared" si="13"/>
        <v>24.964377459914193</v>
      </c>
      <c r="AN26" s="119" t="str">
        <f>IMPRODUCT($AI26,COMPLEX(0,$B26,"j"),$D$24)</f>
        <v>-0.783151634139971+4.20374064202932E-002j</v>
      </c>
      <c r="AO26" s="111">
        <f>IMABS(AN26)</f>
        <v>0.78427904829509</v>
      </c>
      <c r="AP26" s="132">
        <f>180/PI()*IMARGUMENT($AN26)</f>
        <v>176.9274701948361</v>
      </c>
      <c r="AQ26" s="133">
        <f t="shared" si="14"/>
        <v>0.024638852964882513</v>
      </c>
      <c r="AR26" s="133">
        <f t="shared" si="16"/>
        <v>4.891734630413574E-08</v>
      </c>
      <c r="AS26" s="779">
        <f t="shared" si="17"/>
        <v>6.132793838300184</v>
      </c>
      <c r="AT26" s="143">
        <f t="shared" si="18"/>
        <v>25.000000000000004</v>
      </c>
      <c r="AU26" s="120">
        <f t="shared" si="19"/>
        <v>500</v>
      </c>
      <c r="AV26" s="130">
        <f t="shared" si="20"/>
        <v>9999999.999999998</v>
      </c>
      <c r="AW26" s="582" t="str">
        <f>IF($D$10,IMDIV(COMPLEX(1,$B26/$D$49,"j"),COMPLEX(1,$B26/$D$50,"j")),COMPLEX(1,0,"j"))</f>
        <v>1</v>
      </c>
      <c r="AX26" s="184">
        <f>IMABS(AW26)</f>
        <v>1</v>
      </c>
      <c r="AY26" s="111"/>
    </row>
    <row r="27" spans="1:51" ht="15" customHeight="1">
      <c r="A27" s="136">
        <v>0.006</v>
      </c>
      <c r="B27" s="144">
        <f t="shared" si="0"/>
        <v>0.03769911184307752</v>
      </c>
      <c r="C27" s="438" t="s">
        <v>52</v>
      </c>
      <c r="D27" s="457">
        <v>0.02</v>
      </c>
      <c r="E27" s="274" t="s">
        <v>46</v>
      </c>
      <c r="F27" s="614">
        <v>0.02</v>
      </c>
      <c r="G27" s="293" t="str">
        <f>IF(D27=F27,"MATCHES","")</f>
        <v>MATCHES</v>
      </c>
      <c r="H27" s="119" t="str">
        <f>IMDIV(COMPLEX(0,$D$15*$D$23*$B27,"j"),COMPLEX(1,$B27*$D$16*$D$15*$D$23,"j"))</f>
        <v>1.8E-017+5.99999999999999E-010j</v>
      </c>
      <c r="I27" s="145">
        <f t="shared" si="15"/>
        <v>1E-05</v>
      </c>
      <c r="J27" s="150" t="str">
        <f>IMDIV(IF($D$12,$D$52/$D$19,$D$53)/$D$21,COMPLEX(1,$B27*IF($D$12,$D$52,$D$53*$D$19)*$D$17,"j"))</f>
        <v>4.42093953485637E-007-1.66665493976033E-004j</v>
      </c>
      <c r="K27" s="106" t="str">
        <f>IMSUM(IF($D$9,$H27,0),IF($D$7,$I27,0),IF($D$8,$J27,0))</f>
        <v>1.04420939535036E-005-1.66664893976033E-004j</v>
      </c>
      <c r="L27" s="139" t="str">
        <f>IMPRODUCT($D$22,$K27)</f>
        <v>4.17683758140144E-006-6.66659575904132E-005j</v>
      </c>
      <c r="M27" s="377">
        <f>IMABS($L27)</f>
        <v>6.67966756180888E-05</v>
      </c>
      <c r="N27" s="128">
        <f t="shared" si="1"/>
        <v>14970.804920255585</v>
      </c>
      <c r="O27" s="498">
        <f t="shared" si="2"/>
        <v>397112.9341871907</v>
      </c>
      <c r="P27" s="111">
        <f t="shared" si="3"/>
        <v>29.94160984051117</v>
      </c>
      <c r="Q27" s="141">
        <f t="shared" si="4"/>
        <v>1.128772098139221</v>
      </c>
      <c r="R27" s="141">
        <f t="shared" si="5"/>
        <v>0.04255370557309577</v>
      </c>
      <c r="S27" s="119" t="str">
        <f>IMDIV(1/$D$37,COMPLEX(1-$B27*$B27*$D$40*$D$40,$B27*2*$D$26*$D$40,"j"))</f>
        <v>5.06605925503896E-003-1.21585423871765E-008j</v>
      </c>
      <c r="T27" s="111">
        <f>IMABS($S27)</f>
        <v>0.00506605925505355</v>
      </c>
      <c r="U27" s="111">
        <f t="shared" si="6"/>
        <v>1.01321185101071E-05</v>
      </c>
      <c r="V27" s="119">
        <f t="shared" si="7"/>
        <v>1.4400000207318525E-08</v>
      </c>
      <c r="W27" s="120">
        <f t="shared" si="8"/>
        <v>3.819718689198435E-07</v>
      </c>
      <c r="X27" s="22" t="str">
        <f>IMPRODUCT(IMDIV($D$28,COMPLEX(1,$B27*$D$29,"j")),$AW27)</f>
        <v>5000000000</v>
      </c>
      <c r="Y27" s="106">
        <f>IMABS($X27)</f>
        <v>5000000000</v>
      </c>
      <c r="Z27" s="120" t="str">
        <f>IMPRODUCT($S27,$X27)</f>
        <v>25330296.2751948-60.7927119358825j</v>
      </c>
      <c r="AA27" s="197">
        <f>IMABS($Z27)</f>
        <v>25330296.27526775</v>
      </c>
      <c r="AB27" s="111">
        <f t="shared" si="9"/>
        <v>50660.592550535504</v>
      </c>
      <c r="AC27" s="111">
        <f t="shared" si="10"/>
        <v>72.00000103659264</v>
      </c>
      <c r="AD27" s="120">
        <f t="shared" si="11"/>
        <v>1909.8593445992178</v>
      </c>
      <c r="AE27" s="119" t="str">
        <f>IMPRODUCT($L27,$Z27)</f>
        <v>105.796480625911-1688.66871115602j</v>
      </c>
      <c r="AF27" s="111">
        <f>IMABS($AE27)</f>
        <v>1691.979583609141</v>
      </c>
      <c r="AG27" s="111">
        <f t="shared" si="21"/>
        <v>1690.979583609141</v>
      </c>
      <c r="AH27" s="106">
        <f>IF(AND(IMREAL(AE27)&lt;0,IMAGINARY(AE27)&gt;0),180/PI()*IMARGUMENT($AE27)-360,180/PI()*IMARGUMENT($AE27))</f>
        <v>-86.41505794102369</v>
      </c>
      <c r="AI27" s="111" t="str">
        <f>IMDIV($Z27,IMSUM(1,IMPRODUCT($Z27,$L27)))</f>
        <v>944.911653245419+14940.3982376474j</v>
      </c>
      <c r="AJ27" s="111">
        <f>IMABS($AI27)</f>
        <v>14970.249080490828</v>
      </c>
      <c r="AK27" s="120">
        <f>180/PI()*IMARGUMENT($AI27)</f>
        <v>86.38112478512667</v>
      </c>
      <c r="AL27" s="144">
        <f t="shared" si="12"/>
        <v>397098.1900795027</v>
      </c>
      <c r="AM27" s="106">
        <f t="shared" si="13"/>
        <v>29.940498160981658</v>
      </c>
      <c r="AN27" s="119" t="str">
        <f>IMPRODUCT($AI27,COMPLEX(0,$B27,"j"),$D$24)</f>
        <v>-1.12647948828237+7.12446601950526E-002j</v>
      </c>
      <c r="AO27" s="111">
        <f>IMABS(AN27)</f>
        <v>1.1287301888082992</v>
      </c>
      <c r="AP27" s="132">
        <f>180/PI()*IMARGUMENT($AN27)</f>
        <v>176.38112478512667</v>
      </c>
      <c r="AQ27" s="133">
        <f t="shared" si="14"/>
        <v>0.04255212562854227</v>
      </c>
      <c r="AR27" s="133">
        <f t="shared" si="16"/>
        <v>5.866286079147349E-08</v>
      </c>
      <c r="AS27" s="779">
        <f t="shared" si="17"/>
        <v>5.113968121438842</v>
      </c>
      <c r="AT27" s="143">
        <f t="shared" si="18"/>
        <v>30.000000000000004</v>
      </c>
      <c r="AU27" s="120">
        <f t="shared" si="19"/>
        <v>500</v>
      </c>
      <c r="AV27" s="130">
        <f t="shared" si="20"/>
        <v>8333333.333333334</v>
      </c>
      <c r="AW27" s="582" t="str">
        <f>IF($D$10,IMDIV(COMPLEX(1,$B27/$D$49,"j"),COMPLEX(1,$B27/$D$50,"j")),COMPLEX(1,0,"j"))</f>
        <v>1</v>
      </c>
      <c r="AX27" s="184">
        <f>IMABS(AW27)</f>
        <v>1</v>
      </c>
      <c r="AY27" s="111"/>
    </row>
    <row r="28" spans="1:51" ht="15" customHeight="1">
      <c r="A28" s="136">
        <v>0.006999999999999999</v>
      </c>
      <c r="B28" s="144">
        <f t="shared" si="0"/>
        <v>0.0439822971502571</v>
      </c>
      <c r="C28" s="442" t="s">
        <v>423</v>
      </c>
      <c r="D28" s="713">
        <v>5000000000</v>
      </c>
      <c r="E28" s="274" t="s">
        <v>39</v>
      </c>
      <c r="F28" s="714">
        <v>5000000000</v>
      </c>
      <c r="G28" s="293" t="str">
        <f>IF(D28=F28,"MATCHES","")</f>
        <v>MATCHES</v>
      </c>
      <c r="H28" s="119" t="str">
        <f>IMDIV(COMPLEX(0,$D$15*$D$23*$B28,"j"),COMPLEX(1,$B28*$D$16*$D$15*$D$23,"j"))</f>
        <v>2.45E-017+6.99999999999999E-010j</v>
      </c>
      <c r="I28" s="145">
        <f t="shared" si="15"/>
        <v>1E-05</v>
      </c>
      <c r="J28" s="150" t="str">
        <f>IMDIV(IF($D$12,$D$52/$D$19,$D$53)/$D$21,COMPLEX(1,$B28*IF($D$12,$D$52,$D$53*$D$19)*$D$17,"j"))</f>
        <v>3.24804327250863E-007-1.42856404368368E-004j</v>
      </c>
      <c r="K28" s="106" t="str">
        <f>IMSUM(IF($D$9,$H28,0),IF($D$7,$I28,0),IF($D$8,$J28,0))</f>
        <v>1.03248043272754E-005-1.42855704368368E-004j</v>
      </c>
      <c r="L28" s="139" t="str">
        <f>IMPRODUCT($D$22,$K28)</f>
        <v>4.12992173091016E-006-5.71422817473472E-005j</v>
      </c>
      <c r="M28" s="377">
        <f>IMABS($L28)</f>
        <v>5.7291331078939455E-05</v>
      </c>
      <c r="N28" s="128">
        <f t="shared" si="1"/>
        <v>17454.64769568959</v>
      </c>
      <c r="O28" s="498">
        <f t="shared" si="2"/>
        <v>396856.208670937</v>
      </c>
      <c r="P28" s="111">
        <f t="shared" si="3"/>
        <v>34.90929539137918</v>
      </c>
      <c r="Q28" s="141">
        <f t="shared" si="4"/>
        <v>1.53539100320974</v>
      </c>
      <c r="R28" s="141">
        <f t="shared" si="5"/>
        <v>0.06753002334500215</v>
      </c>
      <c r="S28" s="119" t="str">
        <f>IMDIV(1/$D$37,COMPLEX(1-$B28*$B28*$D$40*$D$40,$B28*2*$D$26*$D$40,"j"))</f>
        <v>5.06605928137193E-003-1.41849662658668E-008j</v>
      </c>
      <c r="T28" s="111">
        <f>IMABS($S28)</f>
        <v>0.005066059281391789</v>
      </c>
      <c r="U28" s="111">
        <f t="shared" si="6"/>
        <v>1.0132118562783578E-05</v>
      </c>
      <c r="V28" s="119">
        <f t="shared" si="7"/>
        <v>1.9600000384083163E-08</v>
      </c>
      <c r="W28" s="120">
        <f t="shared" si="8"/>
        <v>4.456338493899832E-07</v>
      </c>
      <c r="X28" s="22" t="str">
        <f>IMPRODUCT(IMDIV($D$28,COMPLEX(1,$B28*$D$29,"j")),$AW28)</f>
        <v>5000000000</v>
      </c>
      <c r="Y28" s="106">
        <f>IMABS($X28)</f>
        <v>5000000000</v>
      </c>
      <c r="Z28" s="120" t="str">
        <f>IMPRODUCT($S28,$X28)</f>
        <v>25330296.4068596-70.924831329334j</v>
      </c>
      <c r="AA28" s="197">
        <f>IMABS($Z28)</f>
        <v>25330296.406958893</v>
      </c>
      <c r="AB28" s="111">
        <f t="shared" si="9"/>
        <v>50660.592813917785</v>
      </c>
      <c r="AC28" s="111">
        <f t="shared" si="10"/>
        <v>98.00000192041561</v>
      </c>
      <c r="AD28" s="120">
        <f t="shared" si="11"/>
        <v>2228.1692469499117</v>
      </c>
      <c r="AE28" s="119" t="str">
        <f>IMPRODUCT($L28,$Z28)</f>
        <v>104.60808877439-1447.43122693859j</v>
      </c>
      <c r="AF28" s="111">
        <f>IMABS($AE28)</f>
        <v>1451.2063977787525</v>
      </c>
      <c r="AG28" s="111">
        <f t="shared" si="21"/>
        <v>1450.2063977787525</v>
      </c>
      <c r="AH28" s="106">
        <f>IF(AND(IMREAL(AE28)&lt;0,IMAGINARY(AE28)&gt;0),180/PI()*IMARGUMENT($AE28)-360,180/PI()*IMARGUMENT($AE28))</f>
        <v>-85.86633254338075</v>
      </c>
      <c r="AI28" s="111" t="str">
        <f>IMDIV($Z28,IMSUM(1,IMPRODUCT($Z28,$L28)))</f>
        <v>1270.14237159817+17407.500010771j</v>
      </c>
      <c r="AJ28" s="111">
        <f>IMABS($AI28)</f>
        <v>17453.77661909082</v>
      </c>
      <c r="AK28" s="120">
        <f>180/PI()*IMARGUMENT($AI28)</f>
        <v>85.8267953023286</v>
      </c>
      <c r="AL28" s="144">
        <f t="shared" si="12"/>
        <v>396836.4035071504</v>
      </c>
      <c r="AM28" s="106">
        <f t="shared" si="13"/>
        <v>34.90755323818164</v>
      </c>
      <c r="AN28" s="119" t="str">
        <f>IMPRODUCT($AI28,COMPLEX(0,$B28,"j"),$D$24)</f>
        <v>-1.53124367623367+0.111727558421526j</v>
      </c>
      <c r="AO28" s="111">
        <f>IMABS(AN28)</f>
        <v>1.5353143793101267</v>
      </c>
      <c r="AP28" s="132">
        <f>180/PI()*IMARGUMENT($AN28)</f>
        <v>175.82679530232863</v>
      </c>
      <c r="AQ28" s="133">
        <f t="shared" si="14"/>
        <v>0.06752665324988044</v>
      </c>
      <c r="AR28" s="133">
        <f t="shared" si="16"/>
        <v>6.838905702682046E-08</v>
      </c>
      <c r="AS28" s="779">
        <f t="shared" si="17"/>
        <v>4.386666713102179</v>
      </c>
      <c r="AT28" s="143">
        <f t="shared" si="18"/>
        <v>35</v>
      </c>
      <c r="AU28" s="120">
        <f t="shared" si="19"/>
        <v>500</v>
      </c>
      <c r="AV28" s="130">
        <f t="shared" si="20"/>
        <v>7142857.142857144</v>
      </c>
      <c r="AW28" s="582" t="str">
        <f>IF($D$10,IMDIV(COMPLEX(1,$B28/$D$49,"j"),COMPLEX(1,$B28/$D$50,"j")),COMPLEX(1,0,"j"))</f>
        <v>1</v>
      </c>
      <c r="AX28" s="184">
        <f>IMABS(AW28)</f>
        <v>1</v>
      </c>
      <c r="AY28" s="111"/>
    </row>
    <row r="29" spans="1:51" ht="15" customHeight="1" thickBot="1">
      <c r="A29" s="136">
        <v>0.008000000000000002</v>
      </c>
      <c r="B29" s="144">
        <f t="shared" si="0"/>
        <v>0.0502654824574367</v>
      </c>
      <c r="C29" s="465" t="s">
        <v>424</v>
      </c>
      <c r="D29" s="453">
        <v>0</v>
      </c>
      <c r="E29" s="275" t="s">
        <v>46</v>
      </c>
      <c r="F29" s="314">
        <v>0</v>
      </c>
      <c r="G29" s="294" t="str">
        <f>IF(D29=F29,"MATCHES","")</f>
        <v>MATCHES</v>
      </c>
      <c r="H29" s="119" t="str">
        <f>IMDIV(COMPLEX(0,$D$15*$D$23*$B29,"j"),COMPLEX(1,$B29*$D$16*$D$15*$D$23,"j"))</f>
        <v>3.2E-017+7.99999999999999E-010j</v>
      </c>
      <c r="I29" s="145">
        <f t="shared" si="15"/>
        <v>1E-05</v>
      </c>
      <c r="J29" s="150" t="str">
        <f>IMDIV(IF($D$12,$D$52/$D$19,$D$53)/$D$21,COMPLEX(1,$B29*IF($D$12,$D$52,$D$53*$D$19)*$D$17,"j"))</f>
        <v>2.4867861434626E-007-1.24999505269616E-004j</v>
      </c>
      <c r="K29" s="106" t="str">
        <f>IMSUM(IF($D$9,$H29,0),IF($D$7,$I29,0),IF($D$8,$J29,0))</f>
        <v>1.02486786143783E-005-1.24998705269616E-004j</v>
      </c>
      <c r="L29" s="139" t="str">
        <f>IMPRODUCT($D$22,$K29)</f>
        <v>4.09947144575132E-006-4.99994821078464E-005j</v>
      </c>
      <c r="M29" s="377">
        <f>IMABS($L29)</f>
        <v>5.01672590160892E-05</v>
      </c>
      <c r="N29" s="128">
        <f t="shared" si="1"/>
        <v>19933.319452021264</v>
      </c>
      <c r="O29" s="498">
        <f t="shared" si="2"/>
        <v>396560.7903773768</v>
      </c>
      <c r="P29" s="111">
        <f t="shared" si="3"/>
        <v>39.86663890404253</v>
      </c>
      <c r="Q29" s="141">
        <f t="shared" si="4"/>
        <v>2.0039158384681133</v>
      </c>
      <c r="R29" s="141">
        <f t="shared" si="5"/>
        <v>0.1007277964246985</v>
      </c>
      <c r="S29" s="119" t="str">
        <f>IMDIV(1/$D$37,COMPLEX(1-$B29*$B29*$D$40*$D$40,$B29*2*$D$26*$D$40,"j"))</f>
        <v>5.06605931175613E-003-1.62113902126312E-008j</v>
      </c>
      <c r="T29" s="111">
        <f>IMABS($S29)</f>
        <v>0.0050660593117820675</v>
      </c>
      <c r="U29" s="111">
        <f t="shared" si="6"/>
        <v>1.0132118623564136E-05</v>
      </c>
      <c r="V29" s="119">
        <f t="shared" si="7"/>
        <v>2.560000065522895E-08</v>
      </c>
      <c r="W29" s="120">
        <f t="shared" si="8"/>
        <v>5.092958309294308E-07</v>
      </c>
      <c r="X29" s="22" t="str">
        <f>IMPRODUCT(IMDIV($D$28,COMPLEX(1,$B29*$D$29,"j")),$AW29)</f>
        <v>5000000000</v>
      </c>
      <c r="Y29" s="106">
        <f>IMABS($X29)</f>
        <v>5000000000</v>
      </c>
      <c r="Z29" s="120" t="str">
        <f>IMPRODUCT($S29,$X29)</f>
        <v>25330296.5587807-81.056951063156j</v>
      </c>
      <c r="AA29" s="197">
        <f>IMABS($Z29)</f>
        <v>25330296.55891039</v>
      </c>
      <c r="AB29" s="111">
        <f t="shared" si="9"/>
        <v>50660.593117820776</v>
      </c>
      <c r="AC29" s="111">
        <f t="shared" si="10"/>
        <v>128.000003276145</v>
      </c>
      <c r="AD29" s="120">
        <f t="shared" si="11"/>
        <v>2546.479154647159</v>
      </c>
      <c r="AE29" s="119" t="str">
        <f>IMPRODUCT($L29,$Z29)</f>
        <v>103.83677464956-1266.50204186786j</v>
      </c>
      <c r="AF29" s="111">
        <f>IMABS($AE29)</f>
        <v>1270.7515484252153</v>
      </c>
      <c r="AG29" s="111">
        <f t="shared" si="21"/>
        <v>1269.7515484252153</v>
      </c>
      <c r="AH29" s="106">
        <f>IF(AND(IMREAL(AE29)&lt;0,IMAGINARY(AE29)&gt;0),180/PI()*IMARGUMENT($AE29)-360,180/PI()*IMARGUMENT($AE29))</f>
        <v>-85.31297079946542</v>
      </c>
      <c r="AI29" s="111" t="str">
        <f>IMDIV($Z29,IMSUM(1,IMPRODUCT($Z29,$L29)))</f>
        <v>1644.34635969048+19864.0884565181j</v>
      </c>
      <c r="AJ29" s="111">
        <f>IMABS($AI29)</f>
        <v>19932.031636514203</v>
      </c>
      <c r="AK29" s="120">
        <f>180/PI()*IMARGUMENT($AI29)</f>
        <v>85.26785302502404</v>
      </c>
      <c r="AL29" s="144">
        <f t="shared" si="12"/>
        <v>396535.1701019094</v>
      </c>
      <c r="AM29" s="106">
        <f t="shared" si="13"/>
        <v>39.86406327302841</v>
      </c>
      <c r="AN29" s="119" t="str">
        <f>IMPRODUCT($AI29,COMPLEX(0,$B29,"j"),$D$24)</f>
        <v>-1.99695597968816+0.165307726193943j</v>
      </c>
      <c r="AO29" s="111">
        <f>IMABS(AN29)</f>
        <v>2.0037863731325527</v>
      </c>
      <c r="AP29" s="132">
        <f>180/PI()*IMARGUMENT($AN29)</f>
        <v>175.26785302502404</v>
      </c>
      <c r="AQ29" s="133">
        <f t="shared" si="14"/>
        <v>0.10072128878714519</v>
      </c>
      <c r="AR29" s="133">
        <f t="shared" si="16"/>
        <v>7.8093104640726E-08</v>
      </c>
      <c r="AS29" s="779">
        <f t="shared" si="17"/>
        <v>3.8415683609990356</v>
      </c>
      <c r="AT29" s="143">
        <f t="shared" si="18"/>
        <v>40.000000000000014</v>
      </c>
      <c r="AU29" s="120">
        <f t="shared" si="19"/>
        <v>500</v>
      </c>
      <c r="AV29" s="130">
        <f t="shared" si="20"/>
        <v>6249999.999999999</v>
      </c>
      <c r="AW29" s="582" t="str">
        <f>IF($D$10,IMDIV(COMPLEX(1,$B29/$D$49,"j"),COMPLEX(1,$B29/$D$50,"j")),COMPLEX(1,0,"j"))</f>
        <v>1</v>
      </c>
      <c r="AX29" s="184">
        <f>IMABS(AW29)</f>
        <v>1</v>
      </c>
      <c r="AY29" s="111"/>
    </row>
    <row r="30" spans="1:51" ht="15" customHeight="1" thickBot="1">
      <c r="A30" s="136">
        <v>0.009</v>
      </c>
      <c r="B30" s="144">
        <f t="shared" si="0"/>
        <v>0.05654866776461627</v>
      </c>
      <c r="C30" s="600" t="s">
        <v>617</v>
      </c>
      <c r="D30" s="733"/>
      <c r="E30" s="733"/>
      <c r="F30" s="734"/>
      <c r="G30" s="504"/>
      <c r="H30" s="119" t="str">
        <f>IMDIV(COMPLEX(0,$D$15*$D$23*$B30,"j"),COMPLEX(1,$B30*$D$16*$D$15*$D$23,"j"))</f>
        <v>4.04999999999999E-017+8.99999999999998E-010j</v>
      </c>
      <c r="I30" s="145">
        <f t="shared" si="15"/>
        <v>1E-05</v>
      </c>
      <c r="J30" s="150" t="str">
        <f>IMDIV(IF($D$12,$D$52/$D$19,$D$53)/$D$21,COMPLEX(1,$B30*IF($D$12,$D$52,$D$53*$D$19)*$D$17,"j"))</f>
        <v>1.96486969610601E-007-1.11110763645861E-004j</v>
      </c>
      <c r="K30" s="106" t="str">
        <f>IMSUM(IF($D$9,$H30,0),IF($D$7,$I30,0),IF($D$8,$J30,0))</f>
        <v>1.01964869696511E-005-1.11109863645861E-004j</v>
      </c>
      <c r="L30" s="139" t="str">
        <f>IMPRODUCT($D$22,$K30)</f>
        <v>4.07859478786044E-006-4.44439454583444E-005j</v>
      </c>
      <c r="M30" s="377">
        <f>IMABS($L30)</f>
        <v>4.4630698217122416E-05</v>
      </c>
      <c r="N30" s="128">
        <f t="shared" si="1"/>
        <v>22406.102524659884</v>
      </c>
      <c r="O30" s="498">
        <f t="shared" si="2"/>
        <v>396226.8858026019</v>
      </c>
      <c r="P30" s="111">
        <f t="shared" si="3"/>
        <v>44.81220504931977</v>
      </c>
      <c r="Q30" s="141">
        <f t="shared" si="4"/>
        <v>2.5340704951338435</v>
      </c>
      <c r="R30" s="141">
        <f t="shared" si="5"/>
        <v>0.14329831052144038</v>
      </c>
      <c r="S30" s="119" t="str">
        <f>IMDIV(1/$D$37,COMPLEX(1-$B30*$B30*$D$40*$D$40,$B30*2*$D$26*$D$40,"j"))</f>
        <v>5.06605934619156E-003-1.82378142371948E-008j</v>
      </c>
      <c r="T30" s="111">
        <f>IMABS($S30)</f>
        <v>0.005066059346224388</v>
      </c>
      <c r="U30" s="111">
        <f t="shared" si="6"/>
        <v>1.0132118692448777E-05</v>
      </c>
      <c r="V30" s="119">
        <f t="shared" si="7"/>
        <v>3.2400001049550107E-08</v>
      </c>
      <c r="W30" s="120">
        <f t="shared" si="8"/>
        <v>5.729578136909441E-07</v>
      </c>
      <c r="X30" s="22" t="str">
        <f>IMPRODUCT(IMDIV($D$28,COMPLEX(1,$B30*$D$29,"j")),$AW30)</f>
        <v>5000000000</v>
      </c>
      <c r="Y30" s="106">
        <f>IMABS($X30)</f>
        <v>5000000000</v>
      </c>
      <c r="Z30" s="120" t="str">
        <f>IMPRODUCT($S30,$X30)</f>
        <v>25330296.7309578-91.189071185974j</v>
      </c>
      <c r="AA30" s="197">
        <f>IMABS($Z30)</f>
        <v>25330296.73112194</v>
      </c>
      <c r="AB30" s="111">
        <f t="shared" si="9"/>
        <v>50660.59346224388</v>
      </c>
      <c r="AC30" s="111">
        <f t="shared" si="10"/>
        <v>162.0000052477505</v>
      </c>
      <c r="AD30" s="120">
        <f t="shared" si="11"/>
        <v>2864.78906845472</v>
      </c>
      <c r="AE30" s="119" t="str">
        <f>IMPRODUCT($L30,$Z30)</f>
        <v>103.307963419737-1125.77869827764j</v>
      </c>
      <c r="AF30" s="111">
        <f>IMABS($AE30)</f>
        <v>1130.5088291568675</v>
      </c>
      <c r="AG30" s="111">
        <f t="shared" si="21"/>
        <v>1129.5088291568675</v>
      </c>
      <c r="AH30" s="106">
        <f>IF(AND(IMREAL(AE30)&lt;0,IMAGINARY(AE30)&gt;0),180/PI()*IMARGUMENT($AE30)-360,180/PI()*IMARGUMENT($AE30))</f>
        <v>-84.7568923734374</v>
      </c>
      <c r="AI30" s="111" t="str">
        <f>IMDIV($Z30,IMSUM(1,IMPRODUCT($Z30,$L30)))</f>
        <v>2067.07462622469+22308.7223313812j</v>
      </c>
      <c r="AJ30" s="111">
        <f>IMABS($AI30)</f>
        <v>22404.282839873456</v>
      </c>
      <c r="AK30" s="120">
        <f>180/PI()*IMARGUMENT($AI30)</f>
        <v>84.70622084733213</v>
      </c>
      <c r="AL30" s="144">
        <f t="shared" si="12"/>
        <v>396194.70671053196</v>
      </c>
      <c r="AM30" s="106">
        <f t="shared" si="13"/>
        <v>44.80856567974691</v>
      </c>
      <c r="AN30" s="119" t="str">
        <f>IMPRODUCT($AI30,COMPLEX(0,$B30,"j"),$D$24)</f>
        <v>-2.5230570547407+0.233780632566097j</v>
      </c>
      <c r="AO30" s="111">
        <f>IMABS(AN30)</f>
        <v>2.533864693632993</v>
      </c>
      <c r="AP30" s="132">
        <f>180/PI()*IMARGUMENT($AN30)</f>
        <v>174.70622084733213</v>
      </c>
      <c r="AQ30" s="133">
        <f t="shared" si="14"/>
        <v>0.14328667272074344</v>
      </c>
      <c r="AR30" s="133">
        <f t="shared" si="16"/>
        <v>8.777220721944036E-08</v>
      </c>
      <c r="AS30" s="779">
        <f t="shared" si="17"/>
        <v>3.417938428390736</v>
      </c>
      <c r="AT30" s="143">
        <f t="shared" si="18"/>
        <v>45.00000000000001</v>
      </c>
      <c r="AU30" s="120">
        <f t="shared" si="19"/>
        <v>500</v>
      </c>
      <c r="AV30" s="130">
        <f t="shared" si="20"/>
        <v>5555555.555555556</v>
      </c>
      <c r="AW30" s="582" t="str">
        <f>IF($D$10,IMDIV(COMPLEX(1,$B30/$D$49,"j"),COMPLEX(1,$B30/$D$50,"j")),COMPLEX(1,0,"j"))</f>
        <v>1</v>
      </c>
      <c r="AX30" s="184">
        <f>IMABS(AW30)</f>
        <v>1</v>
      </c>
      <c r="AY30" s="111"/>
    </row>
    <row r="31" spans="1:51" ht="15" customHeight="1">
      <c r="A31" s="136">
        <v>0.01</v>
      </c>
      <c r="B31" s="144">
        <f t="shared" si="0"/>
        <v>0.06283185307179587</v>
      </c>
      <c r="C31" s="620" t="s">
        <v>798</v>
      </c>
      <c r="D31" s="621">
        <v>10</v>
      </c>
      <c r="E31" s="622" t="s">
        <v>11</v>
      </c>
      <c r="F31" s="623">
        <v>10</v>
      </c>
      <c r="G31" s="293" t="str">
        <f>IF(D31=F31,"MATCHES","")</f>
        <v>MATCHES</v>
      </c>
      <c r="H31" s="119" t="str">
        <f>IMDIV(COMPLEX(0,$D$15*$D$23*$B31,"j"),COMPLEX(1,$B31*$D$16*$D$15*$D$23,"j"))</f>
        <v>4.99999999999999E-017+9.99999999999998E-010j</v>
      </c>
      <c r="I31" s="145">
        <f t="shared" si="15"/>
        <v>1E-05</v>
      </c>
      <c r="J31" s="150" t="str">
        <f>IMDIV(IF($D$12,$D$52/$D$19,$D$53)/$D$21,COMPLEX(1,$B31*IF($D$12,$D$52,$D$53*$D$19)*$D$17,"j"))</f>
        <v>1.59154539948736E-007-9.99997466976824E-005j</v>
      </c>
      <c r="K31" s="106" t="str">
        <f>IMSUM(IF($D$9,$H31,0),IF($D$7,$I31,0),IF($D$8,$J31,0))</f>
        <v>1.01591545399987E-005-9.99987466976824E-005j</v>
      </c>
      <c r="L31" s="139" t="str">
        <f>IMPRODUCT($D$22,$K31)</f>
        <v>4.06366181599948E-006-3.9999498679073E-005j</v>
      </c>
      <c r="M31" s="377">
        <f>IMABS($L31)</f>
        <v>4.020538822013755E-05</v>
      </c>
      <c r="N31" s="128">
        <f t="shared" si="1"/>
        <v>24872.28812528001</v>
      </c>
      <c r="O31" s="498">
        <f t="shared" si="2"/>
        <v>395854.7601144164</v>
      </c>
      <c r="P31" s="111">
        <f t="shared" si="3"/>
        <v>49.74457625056002</v>
      </c>
      <c r="Q31" s="141">
        <f t="shared" si="4"/>
        <v>3.1255439060939336</v>
      </c>
      <c r="R31" s="141">
        <f t="shared" si="5"/>
        <v>0.19638371547714098</v>
      </c>
      <c r="S31" s="119" t="str">
        <f>IMDIV(1/$D$37,COMPLEX(1-$B31*$B31*$D$40*$D$40,$B31*2*$D$26*$D$40,"j"))</f>
        <v>5.06605938467821E-003-2.02642383492824E-008j</v>
      </c>
      <c r="T31" s="111">
        <f>IMABS($S31)</f>
        <v>0.005066059384718738</v>
      </c>
      <c r="U31" s="111">
        <f t="shared" si="6"/>
        <v>1.0132118769437477E-05</v>
      </c>
      <c r="V31" s="119">
        <f t="shared" si="7"/>
        <v>4.000000159968009E-08</v>
      </c>
      <c r="W31" s="120">
        <f t="shared" si="8"/>
        <v>6.366197978272807E-07</v>
      </c>
      <c r="X31" s="22" t="str">
        <f>IMPRODUCT(IMDIV($D$28,COMPLEX(1,$B31*$D$29,"j")),$AW31)</f>
        <v>5000000000</v>
      </c>
      <c r="Y31" s="106">
        <f>IMABS($X31)</f>
        <v>5000000000</v>
      </c>
      <c r="Z31" s="120" t="str">
        <f>IMPRODUCT($S31,$X31)</f>
        <v>25330296.923391-101.321191746412j</v>
      </c>
      <c r="AA31" s="197">
        <f>IMABS($Z31)</f>
        <v>25330296.923593644</v>
      </c>
      <c r="AB31" s="111">
        <f t="shared" si="9"/>
        <v>50660.59384718729</v>
      </c>
      <c r="AC31" s="111">
        <f t="shared" si="10"/>
        <v>200.00000799840006</v>
      </c>
      <c r="AD31" s="120">
        <f t="shared" si="11"/>
        <v>3183.0989891363974</v>
      </c>
      <c r="AE31" s="119" t="str">
        <f>IMPRODUCT($L31,$Z31)</f>
        <v>102.929707598638-1013.19959006276j</v>
      </c>
      <c r="AF31" s="111">
        <f>IMABS($AE31)</f>
        <v>1018.4144215444351</v>
      </c>
      <c r="AG31" s="111">
        <f t="shared" si="21"/>
        <v>1017.4144215444351</v>
      </c>
      <c r="AH31" s="106">
        <f>IF(AND(IMREAL(AE31)&lt;0,IMAGINARY(AE31)&gt;0),180/PI()*IMARGUMENT($AE31)-360,180/PI()*IMARGUMENT($AE31))</f>
        <v>-84.19929216318663</v>
      </c>
      <c r="AI31" s="111" t="str">
        <f>IMDIV($Z31,IMSUM(1,IMPRODUCT($Z31,$L31)))</f>
        <v>2537.82242243703+24739.9841323832j</v>
      </c>
      <c r="AJ31" s="111">
        <f>IMABS($AI31)</f>
        <v>24869.80815202234</v>
      </c>
      <c r="AK31" s="120">
        <f>180/PI()*IMARGUMENT($AI31)</f>
        <v>84.14309684442155</v>
      </c>
      <c r="AL31" s="144">
        <f t="shared" si="12"/>
        <v>395815.290114147</v>
      </c>
      <c r="AM31" s="106">
        <f t="shared" si="13"/>
        <v>49.73961630404468</v>
      </c>
      <c r="AN31" s="119" t="str">
        <f>IMPRODUCT($AI31,COMPLEX(0,$B31,"j"),$D$24)</f>
        <v>-3.10891809600893+0.318912171137745j</v>
      </c>
      <c r="AO31" s="111">
        <f>IMABS(AN31)</f>
        <v>3.125232263463243</v>
      </c>
      <c r="AP31" s="132">
        <f>180/PI()*IMARGUMENT($AN31)</f>
        <v>174.14309684442156</v>
      </c>
      <c r="AQ31" s="133">
        <f t="shared" si="14"/>
        <v>0.19636413439315817</v>
      </c>
      <c r="AR31" s="133">
        <f t="shared" si="16"/>
        <v>9.742360523756541E-08</v>
      </c>
      <c r="AS31" s="779">
        <f t="shared" si="17"/>
        <v>3.0793358474925694</v>
      </c>
      <c r="AT31" s="143">
        <f t="shared" si="18"/>
        <v>50.00000000000001</v>
      </c>
      <c r="AU31" s="120">
        <f t="shared" si="19"/>
        <v>500</v>
      </c>
      <c r="AV31" s="130">
        <f t="shared" si="20"/>
        <v>4999999.999999999</v>
      </c>
      <c r="AW31" s="582" t="str">
        <f>IF($D$10,IMDIV(COMPLEX(1,$B31/$D$49,"j"),COMPLEX(1,$B31/$D$50,"j")),COMPLEX(1,0,"j"))</f>
        <v>1</v>
      </c>
      <c r="AX31" s="184">
        <f>IMABS(AW31)</f>
        <v>1</v>
      </c>
      <c r="AY31" s="111"/>
    </row>
    <row r="32" spans="1:51" ht="15" customHeight="1" thickBot="1">
      <c r="A32" s="136">
        <v>0.015</v>
      </c>
      <c r="B32" s="144">
        <f t="shared" si="0"/>
        <v>0.09424777960769379</v>
      </c>
      <c r="C32" s="624" t="s">
        <v>797</v>
      </c>
      <c r="D32" s="619">
        <v>1000</v>
      </c>
      <c r="E32" s="625" t="s">
        <v>11</v>
      </c>
      <c r="F32" s="618">
        <v>1000</v>
      </c>
      <c r="G32" s="295" t="str">
        <f>IF(D32=F32,"MATCHES","")</f>
        <v>MATCHES</v>
      </c>
      <c r="H32" s="119" t="str">
        <f>IMDIV(COMPLEX(0,$D$15*$D$23*$B32,"j"),COMPLEX(1,$B32*$D$16*$D$15*$D$23,"j"))</f>
        <v>1.12499999999999E-016+1.49999999999999E-009j</v>
      </c>
      <c r="I32" s="145">
        <f t="shared" si="15"/>
        <v>1E-05</v>
      </c>
      <c r="J32" s="150" t="str">
        <f>IMDIV(IF($D$12,$D$52/$D$19,$D$53)/$D$21,COMPLEX(1,$B32*IF($D$12,$D$52,$D$53*$D$19)*$D$17,"j"))</f>
        <v>7.07354506297359E-008-6.66665916140225E-005j</v>
      </c>
      <c r="K32" s="106" t="str">
        <f>IMSUM(IF($D$9,$H32,0),IF($D$7,$I32,0),IF($D$8,$J32,0))</f>
        <v>1.00707354507422E-005-6.66650916140225E-005j</v>
      </c>
      <c r="L32" s="139" t="str">
        <f>IMPRODUCT($D$22,$K32)</f>
        <v>4.02829418029688E-006-2.6666036645609E-005j</v>
      </c>
      <c r="M32" s="377">
        <f>IMABS($L32)</f>
        <v>2.6968586621993664E-05</v>
      </c>
      <c r="N32" s="128">
        <f t="shared" si="1"/>
        <v>37080.17828359129</v>
      </c>
      <c r="O32" s="498">
        <f t="shared" si="2"/>
        <v>393432.91097082035</v>
      </c>
      <c r="P32" s="111">
        <f t="shared" si="3"/>
        <v>74.16035656718257</v>
      </c>
      <c r="Q32" s="141">
        <f t="shared" si="4"/>
        <v>6.98944894137181</v>
      </c>
      <c r="R32" s="141">
        <f t="shared" si="5"/>
        <v>0.6587400434056391</v>
      </c>
      <c r="S32" s="119" t="str">
        <f>IMDIV(1/$D$37,COMPLEX(1-$B32*$B32*$D$40*$D$40,$B32*2*$D$26*$D$40,"j"))</f>
        <v>5.06605963787988E-003-3.03963605629517E-008j</v>
      </c>
      <c r="T32" s="111">
        <f>IMABS($S32)</f>
        <v>0.0050660596379710696</v>
      </c>
      <c r="U32" s="111">
        <f t="shared" si="6"/>
        <v>1.013211927594214E-05</v>
      </c>
      <c r="V32" s="119">
        <f t="shared" si="7"/>
        <v>9.000000809838076E-08</v>
      </c>
      <c r="W32" s="120">
        <f t="shared" si="8"/>
        <v>9.549297444778607E-07</v>
      </c>
      <c r="X32" s="22" t="str">
        <f>IMPRODUCT(IMDIV($D$28,COMPLEX(1,$B32*$D$29,"j")),$AW32)</f>
        <v>5000000000</v>
      </c>
      <c r="Y32" s="106">
        <f>IMABS($X32)</f>
        <v>5000000000</v>
      </c>
      <c r="Z32" s="120" t="str">
        <f>IMPRODUCT($S32,$X32)</f>
        <v>25330298.1893994-151.981802814759j</v>
      </c>
      <c r="AA32" s="197">
        <f>IMABS($Z32)</f>
        <v>25330298.189855345</v>
      </c>
      <c r="AB32" s="111">
        <f t="shared" si="9"/>
        <v>50660.59637971069</v>
      </c>
      <c r="AC32" s="111">
        <f t="shared" si="10"/>
        <v>450.00004049190375</v>
      </c>
      <c r="AD32" s="120">
        <f t="shared" si="11"/>
        <v>4774.648722389303</v>
      </c>
      <c r="AE32" s="119" t="str">
        <f>IMPRODUCT($L32,$Z32)</f>
        <v>102.033840029219-675.45927199014j</v>
      </c>
      <c r="AF32" s="111">
        <f>IMABS($AE32)</f>
        <v>683.1223408940439</v>
      </c>
      <c r="AG32" s="111">
        <f t="shared" si="21"/>
        <v>682.1223408940439</v>
      </c>
      <c r="AH32" s="106">
        <f>IF(AND(IMREAL(AE32)&lt;0,IMAGINARY(AE32)&gt;0),180/PI()*IMARGUMENT($AE32)-360,180/PI()*IMARGUMENT($AE32))</f>
        <v>-81.40993260504132</v>
      </c>
      <c r="AI32" s="111" t="str">
        <f>IMDIV($Z32,IMSUM(1,IMPRODUCT($Z32,$L32)))</f>
        <v>5590.48502495294+36648.0853489772j</v>
      </c>
      <c r="AJ32" s="111">
        <f>IMABS($AI32)</f>
        <v>37072.03369873496</v>
      </c>
      <c r="AK32" s="120">
        <f>180/PI()*IMARGUMENT($AI32)</f>
        <v>81.32667450492315</v>
      </c>
      <c r="AL32" s="144">
        <f t="shared" si="12"/>
        <v>393346.4942415326</v>
      </c>
      <c r="AM32" s="106">
        <f t="shared" si="13"/>
        <v>74.14406739746993</v>
      </c>
      <c r="AN32" s="119" t="str">
        <f>IMPRODUCT($AI32,COMPLEX(0,$B32,"j"),$D$24)</f>
        <v>-6.90800134202871+1.05378160106375j</v>
      </c>
      <c r="AO32" s="111">
        <f>IMABS(AN32)</f>
        <v>6.9879137232947395</v>
      </c>
      <c r="AP32" s="132">
        <f>180/PI()*IMARGUMENT($AN32)</f>
        <v>171.3266745049232</v>
      </c>
      <c r="AQ32" s="133">
        <f t="shared" si="14"/>
        <v>0.6585953525106615</v>
      </c>
      <c r="AR32" s="133">
        <f t="shared" si="16"/>
        <v>1.4517145137081066E-07</v>
      </c>
      <c r="AS32" s="779">
        <f t="shared" si="17"/>
        <v>2.0665220135721563</v>
      </c>
      <c r="AT32" s="143">
        <f t="shared" si="18"/>
        <v>75</v>
      </c>
      <c r="AU32" s="120">
        <f t="shared" si="19"/>
        <v>500</v>
      </c>
      <c r="AV32" s="130">
        <f t="shared" si="20"/>
        <v>3333333.333333334</v>
      </c>
      <c r="AW32" s="582" t="str">
        <f>IF($D$10,IMDIV(COMPLEX(1,$B32/$D$49,"j"),COMPLEX(1,$B32/$D$50,"j")),COMPLEX(1,0,"j"))</f>
        <v>1</v>
      </c>
      <c r="AX32" s="184">
        <f>IMABS(AW32)</f>
        <v>1</v>
      </c>
      <c r="AY32" s="111"/>
    </row>
    <row r="33" spans="1:51" ht="15" customHeight="1" thickBot="1">
      <c r="A33" s="136">
        <v>0.02</v>
      </c>
      <c r="B33" s="144">
        <f t="shared" si="0"/>
        <v>0.12566370614359174</v>
      </c>
      <c r="C33" s="600" t="s">
        <v>616</v>
      </c>
      <c r="D33" s="733"/>
      <c r="E33" s="733"/>
      <c r="F33" s="734"/>
      <c r="G33" s="496"/>
      <c r="H33" s="119" t="str">
        <f>IMDIV(COMPLEX(0,$D$15*$D$23*$B33,"j"),COMPLEX(1,$B33*$D$16*$D$15*$D$23,"j"))</f>
        <v>1.99999999999998E-016+1.99999999999998E-009j</v>
      </c>
      <c r="I33" s="145">
        <f t="shared" si="15"/>
        <v>1E-05</v>
      </c>
      <c r="J33" s="150" t="str">
        <f>IMDIV(IF($D$12,$D$52/$D$19,$D$53)/$D$21,COMPLEX(1,$B33*IF($D$12,$D$52,$D$53*$D$19)*$D$17,"j"))</f>
        <v>3.97887105764783E-008-4.999996833715E-005j</v>
      </c>
      <c r="K33" s="106" t="str">
        <f>IMSUM(IF($D$9,$H33,0),IF($D$7,$I33,0),IF($D$8,$J33,0))</f>
        <v>1.00397887107765E-005-4.999796833715E-005j</v>
      </c>
      <c r="L33" s="139" t="str">
        <f>IMPRODUCT($D$22,$K33)</f>
        <v>4.0159154843106E-006-1.999918733486E-005j</v>
      </c>
      <c r="M33" s="377">
        <f>IMABS($L33)</f>
        <v>2.039840854654966E-05</v>
      </c>
      <c r="N33" s="128">
        <f t="shared" si="1"/>
        <v>49023.432279923996</v>
      </c>
      <c r="O33" s="498">
        <f t="shared" si="2"/>
        <v>390116.0787340344</v>
      </c>
      <c r="P33" s="111">
        <f t="shared" si="3"/>
        <v>98.04686455984799</v>
      </c>
      <c r="Q33" s="141">
        <f t="shared" si="4"/>
        <v>12.320932376349276</v>
      </c>
      <c r="R33" s="141">
        <f t="shared" si="5"/>
        <v>1.5482940255566209</v>
      </c>
      <c r="S33" s="119" t="str">
        <f>IMDIV(1/$D$37,COMPLEX(1-$B33*$B33*$D$40*$D$40,$B33*2*$D$26*$D$40,"j"))</f>
        <v>5.06605999236226E-003-4.05284864234559E-008j</v>
      </c>
      <c r="T33" s="111">
        <f>IMABS($S33)</f>
        <v>0.005066059992524373</v>
      </c>
      <c r="U33" s="111">
        <f t="shared" si="6"/>
        <v>1.0132119985048746E-05</v>
      </c>
      <c r="V33" s="119">
        <f t="shared" si="7"/>
        <v>1.600000255948841E-07</v>
      </c>
      <c r="W33" s="120">
        <f t="shared" si="8"/>
        <v>1.2732397484127788E-06</v>
      </c>
      <c r="X33" s="22" t="str">
        <f>IMPRODUCT(IMDIV($D$28,COMPLEX(1,$B33*$D$29,"j")),$AW33)</f>
        <v>5000000000</v>
      </c>
      <c r="Y33" s="106">
        <f>IMABS($X33)</f>
        <v>5000000000</v>
      </c>
      <c r="Z33" s="120" t="str">
        <f>IMPRODUCT($S33,$X33)</f>
        <v>25330299.9618113-202.64243211728j</v>
      </c>
      <c r="AA33" s="197">
        <f>IMABS($Z33)</f>
        <v>25330299.962621868</v>
      </c>
      <c r="AB33" s="111">
        <f t="shared" si="9"/>
        <v>50660.59992524374</v>
      </c>
      <c r="AC33" s="111">
        <f t="shared" si="10"/>
        <v>800.0001279744206</v>
      </c>
      <c r="AD33" s="120">
        <f t="shared" si="11"/>
        <v>6366.198742063894</v>
      </c>
      <c r="AE33" s="119" t="str">
        <f>IMPRODUCT($L33,$Z33)</f>
        <v>101.720291154908-506.586227979342j</v>
      </c>
      <c r="AF33" s="111">
        <f>IMABS($AE33)</f>
        <v>516.6978072442123</v>
      </c>
      <c r="AG33" s="111">
        <f t="shared" si="21"/>
        <v>515.6978072442123</v>
      </c>
      <c r="AH33" s="106">
        <f>IF(AND(IMREAL(AE33)&lt;0,IMAGINARY(AE33)&gt;0),180/PI()*IMARGUMENT($AE33)-360,180/PI()*IMARGUMENT($AE33))</f>
        <v>-78.64624236431189</v>
      </c>
      <c r="AI33" s="111" t="str">
        <f>IMDIV($Z33,IMSUM(1,IMPRODUCT($Z33,$L33)))</f>
        <v>9738.85797986712+48027.2070001777j</v>
      </c>
      <c r="AJ33" s="111">
        <f>IMABS($AI33)</f>
        <v>49004.672909733206</v>
      </c>
      <c r="AK33" s="120">
        <f>180/PI()*IMARGUMENT($AI33)</f>
        <v>78.53710720471854</v>
      </c>
      <c r="AL33" s="144">
        <f t="shared" si="12"/>
        <v>389966.79640927666</v>
      </c>
      <c r="AM33" s="106">
        <f t="shared" si="13"/>
        <v>98.00934581946642</v>
      </c>
      <c r="AN33" s="119" t="str">
        <f>IMPRODUCT($AI33,COMPLEX(0,$B33,"j"),$D$24)</f>
        <v>-12.0705536547356+2.4476419747124j</v>
      </c>
      <c r="AO33" s="111">
        <f>IMABS(AN33)</f>
        <v>12.316217632383122</v>
      </c>
      <c r="AP33" s="132">
        <f>180/PI()*IMARGUMENT($AN33)</f>
        <v>168.53710720471852</v>
      </c>
      <c r="AQ33" s="133">
        <f t="shared" si="14"/>
        <v>1.5477015533563117</v>
      </c>
      <c r="AR33" s="133">
        <f t="shared" si="16"/>
        <v>1.9183979283612874E-07</v>
      </c>
      <c r="AS33" s="779">
        <f t="shared" si="17"/>
        <v>1.5638048580268362</v>
      </c>
      <c r="AT33" s="143">
        <f t="shared" si="18"/>
        <v>100.00000000000001</v>
      </c>
      <c r="AU33" s="120">
        <f t="shared" si="19"/>
        <v>500</v>
      </c>
      <c r="AV33" s="130">
        <f t="shared" si="20"/>
        <v>2499999.9999999995</v>
      </c>
      <c r="AW33" s="582" t="str">
        <f>IF($D$10,IMDIV(COMPLEX(1,$B33/$D$49,"j"),COMPLEX(1,$B33/$D$50,"j")),COMPLEX(1,0,"j"))</f>
        <v>1</v>
      </c>
      <c r="AX33" s="184">
        <f>IMABS(AW33)</f>
        <v>1</v>
      </c>
      <c r="AY33" s="111"/>
    </row>
    <row r="34" spans="1:51" ht="15" customHeight="1" thickBot="1">
      <c r="A34" s="136">
        <v>0.03</v>
      </c>
      <c r="B34" s="130">
        <f t="shared" si="0"/>
        <v>0.18849555921538758</v>
      </c>
      <c r="C34" s="446" t="s">
        <v>390</v>
      </c>
      <c r="D34" s="461">
        <v>1600</v>
      </c>
      <c r="E34" s="308" t="s">
        <v>11</v>
      </c>
      <c r="F34" s="309">
        <v>1600</v>
      </c>
      <c r="G34" s="296" t="str">
        <f>IF(D34=F34,"MATCHES","")</f>
        <v>MATCHES</v>
      </c>
      <c r="H34" s="119" t="str">
        <f>IMDIV(COMPLEX(0,$D$15*$D$23*$B34,"j"),COMPLEX(1,$B34*$D$16*$D$15*$D$23,"j"))</f>
        <v>4.4999999999999E-016+2.99999999999993E-009j</v>
      </c>
      <c r="I34" s="145">
        <f t="shared" si="15"/>
        <v>1E-05</v>
      </c>
      <c r="J34" s="150" t="str">
        <f>IMDIV(IF($D$12,$D$52/$D$19,$D$53)/$D$21,COMPLEX(1,$B34*IF($D$12,$D$52,$D$53*$D$19)*$D$17,"j"))</f>
        <v>1.76838775886788E-008-3.33333239517448E-005j</v>
      </c>
      <c r="K34" s="106" t="str">
        <f>IMSUM(IF($D$9,$H34,0),IF($D$7,$I34,0),IF($D$8,$J34,0))</f>
        <v>1.00176838780387E-005-3.33303239517448E-005j</v>
      </c>
      <c r="L34" s="139" t="str">
        <f>IMPRODUCT($D$22,$K34)</f>
        <v>4.00707355121548E-006-1.33321295806979E-005j</v>
      </c>
      <c r="M34" s="377">
        <f>IMABS($L34)</f>
        <v>1.3921290083945904E-05</v>
      </c>
      <c r="N34" s="128">
        <f t="shared" si="1"/>
        <v>71832.42314253653</v>
      </c>
      <c r="O34" s="498">
        <f t="shared" si="2"/>
        <v>381082.8405801116</v>
      </c>
      <c r="P34" s="111">
        <f t="shared" si="3"/>
        <v>143.66484628507305</v>
      </c>
      <c r="Q34" s="141">
        <f t="shared" si="4"/>
        <v>27.080185540097542</v>
      </c>
      <c r="R34" s="141">
        <f t="shared" si="5"/>
        <v>5.104494717037139</v>
      </c>
      <c r="S34" s="119" t="str">
        <f>IMDIV(1/$D$37,COMPLEX(1-$B34*$B34*$D$40*$D$40,$B34*2*$D$26*$D$40,"j"))</f>
        <v>5.06606100516934E-003-6.07927539474235E-008j</v>
      </c>
      <c r="T34" s="111">
        <f>IMABS($S34)</f>
        <v>0.005066061005534096</v>
      </c>
      <c r="U34" s="111">
        <f t="shared" si="6"/>
        <v>1.0132122011068192E-05</v>
      </c>
      <c r="V34" s="119">
        <f t="shared" si="7"/>
        <v>3.600001295741267E-07</v>
      </c>
      <c r="W34" s="120">
        <f t="shared" si="8"/>
        <v>1.9098600045148363E-06</v>
      </c>
      <c r="X34" s="22" t="str">
        <f>IMPRODUCT(IMDIV($D$28,COMPLEX(1,$B34*$D$29,"j")),$AW34)</f>
        <v>5000000000</v>
      </c>
      <c r="Y34" s="106">
        <f>IMABS($X34)</f>
        <v>5000000000</v>
      </c>
      <c r="Z34" s="120" t="str">
        <f>IMPRODUCT($S34,$X34)</f>
        <v>25330305.0258467-303.963769737118j</v>
      </c>
      <c r="AA34" s="197">
        <f>IMABS($Z34)</f>
        <v>25330305.02767048</v>
      </c>
      <c r="AB34" s="111">
        <f t="shared" si="9"/>
        <v>50660.61005534096</v>
      </c>
      <c r="AC34" s="111">
        <f t="shared" si="10"/>
        <v>1800.0006478706337</v>
      </c>
      <c r="AD34" s="120">
        <f t="shared" si="11"/>
        <v>9549.300022574182</v>
      </c>
      <c r="AE34" s="119" t="str">
        <f>IMPRODUCT($L34,$Z34)</f>
        <v>101.496342828925-337.708126928374j</v>
      </c>
      <c r="AF34" s="111">
        <f>IMABS($AE34)</f>
        <v>352.63052420503453</v>
      </c>
      <c r="AG34" s="111">
        <f t="shared" si="21"/>
        <v>351.63052420503453</v>
      </c>
      <c r="AH34" s="106">
        <f>IF(AND(IMREAL(AE34)&lt;0,IMAGINARY(AE34)&gt;0),180/PI()*IMARGUMENT($AE34)-360,180/PI()*IMARGUMENT($AE34))</f>
        <v>-73.27213492136023</v>
      </c>
      <c r="AI34" s="111" t="str">
        <f>IMDIV($Z34,IMSUM(1,IMPRODUCT($Z34,$L34)))</f>
        <v>20845.5942660652+68679.74443031j</v>
      </c>
      <c r="AJ34" s="111">
        <f>IMABS($AI34)</f>
        <v>71773.57518835264</v>
      </c>
      <c r="AK34" s="120">
        <f>180/PI()*IMARGUMENT($AI34)</f>
        <v>73.1159693755028</v>
      </c>
      <c r="AL34" s="144">
        <f t="shared" si="12"/>
        <v>380770.6424868046</v>
      </c>
      <c r="AM34" s="106">
        <f t="shared" si="13"/>
        <v>143.54715037670528</v>
      </c>
      <c r="AN34" s="119" t="str">
        <f>IMPRODUCT($AI34,COMPLEX(0,$B34,"j"),$D$24)</f>
        <v>-25.8916536663224+7.85860389671809j</v>
      </c>
      <c r="AO34" s="111">
        <f>IMABS(AN34)</f>
        <v>27.058000384032425</v>
      </c>
      <c r="AP34" s="132">
        <f>180/PI()*IMARGUMENT($AN34)</f>
        <v>163.1159693755028</v>
      </c>
      <c r="AQ34" s="133">
        <f t="shared" si="14"/>
        <v>5.100312913638358</v>
      </c>
      <c r="AR34" s="133">
        <f t="shared" si="16"/>
        <v>2.8084413859847594E-07</v>
      </c>
      <c r="AS34" s="779">
        <f t="shared" si="17"/>
        <v>1.0682081580805618</v>
      </c>
      <c r="AT34" s="143">
        <f t="shared" si="18"/>
        <v>150</v>
      </c>
      <c r="AU34" s="120">
        <f t="shared" si="19"/>
        <v>500</v>
      </c>
      <c r="AV34" s="130">
        <f t="shared" si="20"/>
        <v>1666666.666666667</v>
      </c>
      <c r="AW34" s="582" t="str">
        <f>IF($D$10,IMDIV(COMPLEX(1,$B34/$D$49,"j"),COMPLEX(1,$B34/$D$50,"j")),COMPLEX(1,0,"j"))</f>
        <v>1</v>
      </c>
      <c r="AX34" s="184">
        <f>IMABS(AW34)</f>
        <v>1</v>
      </c>
      <c r="AY34" s="111"/>
    </row>
    <row r="35" spans="1:51" ht="15" customHeight="1" thickBot="1">
      <c r="A35" s="136">
        <v>0.04</v>
      </c>
      <c r="B35" s="130">
        <f t="shared" si="0"/>
        <v>0.25132741228718347</v>
      </c>
      <c r="C35" s="95">
        <v>300</v>
      </c>
      <c r="H35" s="119" t="str">
        <f>IMDIV(COMPLEX(0,$D$15*$D$23*$B35,"j"),COMPLEX(1,$B35*$D$16*$D$15*$D$23,"j"))</f>
        <v>7.99999999999968E-016+3.99999999999984E-009j</v>
      </c>
      <c r="I35" s="145">
        <f t="shared" si="15"/>
        <v>1E-05</v>
      </c>
      <c r="J35" s="150" t="str">
        <f>IMDIV(IF($D$12,$D$52/$D$19,$D$53)/$D$21,COMPLEX(1,$B35*IF($D$12,$D$52,$D$53*$D$19)*$D$17,"j"))</f>
        <v>9.94718236846179E-009-2.49999960421419E-005j</v>
      </c>
      <c r="K35" s="106" t="str">
        <f>IMSUM(IF($D$9,$H35,0),IF($D$7,$I35,0),IF($D$8,$J35,0))</f>
        <v>1.00099471831685E-005-2.49959960421419E-005j</v>
      </c>
      <c r="L35" s="139" t="str">
        <f>IMPRODUCT($D$22,$K35)</f>
        <v>4.0039788732674E-006-9.99839841685676E-006j</v>
      </c>
      <c r="M35" s="377">
        <f>IMABS($L35)</f>
        <v>1.0770321152118698E-05</v>
      </c>
      <c r="N35" s="128">
        <f t="shared" si="1"/>
        <v>92847.74203815489</v>
      </c>
      <c r="O35" s="498">
        <f t="shared" si="2"/>
        <v>369429.42750733794</v>
      </c>
      <c r="P35" s="111">
        <f t="shared" si="3"/>
        <v>185.69548407630978</v>
      </c>
      <c r="Q35" s="141">
        <f t="shared" si="4"/>
        <v>46.67036548631482</v>
      </c>
      <c r="R35" s="141">
        <f t="shared" si="5"/>
        <v>11.729542188172584</v>
      </c>
      <c r="S35" s="119" t="str">
        <f>IMDIV(1/$D$37,COMPLEX(1-$B35*$B35*$D$40*$D$40,$B35*2*$D$26*$D$40,"j"))</f>
        <v>5.06606242309993E-003-8.10570506461112E-008j</v>
      </c>
      <c r="T35" s="111">
        <f>IMABS($S35)</f>
        <v>0.005066062423748386</v>
      </c>
      <c r="U35" s="111">
        <f t="shared" si="6"/>
        <v>1.0132124847496772E-05</v>
      </c>
      <c r="V35" s="119">
        <f t="shared" si="7"/>
        <v>6.400004095183425E-07</v>
      </c>
      <c r="W35" s="120">
        <f t="shared" si="8"/>
        <v>2.5464807188920373E-06</v>
      </c>
      <c r="X35" s="22" t="str">
        <f>IMPRODUCT(IMDIV($D$28,COMPLEX(1,$B35*$D$29,"j")),$AW35)</f>
        <v>5000000000</v>
      </c>
      <c r="Y35" s="106">
        <f>IMABS($X35)</f>
        <v>5000000000</v>
      </c>
      <c r="Z35" s="120" t="str">
        <f>IMPRODUCT($S35,$X35)</f>
        <v>25330312.1154996-405.285253230556j</v>
      </c>
      <c r="AA35" s="197">
        <f>IMABS($Z35)</f>
        <v>25330312.11874188</v>
      </c>
      <c r="AB35" s="111">
        <f t="shared" si="9"/>
        <v>50660.62423748376</v>
      </c>
      <c r="AC35" s="111">
        <f t="shared" si="10"/>
        <v>3200.0020475917054</v>
      </c>
      <c r="AD35" s="120">
        <f t="shared" si="11"/>
        <v>12732.40359446016</v>
      </c>
      <c r="AE35" s="119" t="str">
        <f>IMPRODUCT($L35,$Z35)</f>
        <v>101.417982360295-253.26417530769j</v>
      </c>
      <c r="AF35" s="111">
        <f>IMABS($AE35)</f>
        <v>272.8155964022538</v>
      </c>
      <c r="AG35" s="111">
        <f t="shared" si="21"/>
        <v>271.8155964022538</v>
      </c>
      <c r="AH35" s="106">
        <f>IF(AND(IMREAL(AE35)&lt;0,IMAGINARY(AE35)&gt;0),180/PI()*IMARGUMENT($AE35)-360,180/PI()*IMARGUMENT($AE35))</f>
        <v>-68.1766901396166</v>
      </c>
      <c r="AI35" s="111" t="str">
        <f>IMDIV($Z35,IMSUM(1,IMPRODUCT($Z35,$L35)))</f>
        <v>34762.242089374+85957.8082527362j</v>
      </c>
      <c r="AJ35" s="111">
        <f>IMABS($AI35)</f>
        <v>92720.86213304108</v>
      </c>
      <c r="AK35" s="120">
        <f>180/PI()*IMARGUMENT($AI35)</f>
        <v>67.98107385287467</v>
      </c>
      <c r="AL35" s="144">
        <f t="shared" si="12"/>
        <v>368924.5884053906</v>
      </c>
      <c r="AM35" s="106">
        <f t="shared" si="13"/>
        <v>185.44172426608216</v>
      </c>
      <c r="AN35" s="119" t="str">
        <f>IMPRODUCT($AI35,COMPLEX(0,$B35,"j"),$D$24)</f>
        <v>-43.2071070280761+17.4734086992459j</v>
      </c>
      <c r="AO35" s="111">
        <f>IMABS(AN35)</f>
        <v>46.60658868986771</v>
      </c>
      <c r="AP35" s="132">
        <f>180/PI()*IMARGUMENT($AN35)</f>
        <v>157.98107385287472</v>
      </c>
      <c r="AQ35" s="133">
        <f t="shared" si="14"/>
        <v>11.713513330957593</v>
      </c>
      <c r="AR35" s="133">
        <f t="shared" si="16"/>
        <v>3.6270792847483645E-07</v>
      </c>
      <c r="AS35" s="779">
        <f t="shared" si="17"/>
        <v>0.8271117790600298</v>
      </c>
      <c r="AT35" s="143">
        <f t="shared" si="18"/>
        <v>200.00000000000003</v>
      </c>
      <c r="AU35" s="120">
        <f t="shared" si="19"/>
        <v>500</v>
      </c>
      <c r="AV35" s="130">
        <f t="shared" si="20"/>
        <v>1249999.9999999998</v>
      </c>
      <c r="AW35" s="582" t="str">
        <f>IF($D$10,IMDIV(COMPLEX(1,$B35/$D$49,"j"),COMPLEX(1,$B35/$D$50,"j")),COMPLEX(1,0,"j"))</f>
        <v>1</v>
      </c>
      <c r="AX35" s="184">
        <f>IMABS(AW35)</f>
        <v>1</v>
      </c>
      <c r="AY35" s="111"/>
    </row>
    <row r="36" spans="1:51" ht="15" customHeight="1" thickBot="1">
      <c r="A36" s="136">
        <v>0.05</v>
      </c>
      <c r="B36" s="130">
        <f t="shared" si="0"/>
        <v>0.3141592653589793</v>
      </c>
      <c r="C36" s="261" t="s">
        <v>382</v>
      </c>
      <c r="D36" s="237"/>
      <c r="E36" s="237"/>
      <c r="F36" s="237"/>
      <c r="G36" s="262"/>
      <c r="H36" s="119" t="str">
        <f>IMDIV(COMPLEX(0,$D$15*$D$23*$B36,"j"),COMPLEX(1,$B36*$D$16*$D$15*$D$23,"j"))</f>
        <v>1.24999999999992E-015+4.99999999999969E-009j</v>
      </c>
      <c r="I36" s="145">
        <f t="shared" si="15"/>
        <v>1E-05</v>
      </c>
      <c r="J36" s="150" t="str">
        <f>IMDIV(IF($D$12,$D$52/$D$19,$D$53)/$D$21,COMPLEX(1,$B36*IF($D$12,$D$52,$D$53*$D$19)*$D$17,"j"))</f>
        <v>6.3661970786452E-009-1.99999979735765E-005j</v>
      </c>
      <c r="K36" s="106" t="str">
        <f>IMSUM(IF($D$9,$H36,0),IF($D$7,$I36,0),IF($D$8,$J36,0))</f>
        <v>1.00063661983286E-005-1.99949979735765E-005j</v>
      </c>
      <c r="L36" s="139" t="str">
        <f>IMPRODUCT($D$22,$K36)</f>
        <v>4.00254647933144E-006-7.9979991894306E-006j</v>
      </c>
      <c r="M36" s="377">
        <f>IMABS($L36)</f>
        <v>8.943621713452612E-06</v>
      </c>
      <c r="N36" s="128">
        <f t="shared" si="1"/>
        <v>111811.52692268312</v>
      </c>
      <c r="O36" s="498">
        <f t="shared" si="2"/>
        <v>355907.1440879511</v>
      </c>
      <c r="P36" s="111">
        <f t="shared" si="3"/>
        <v>223.62305384536623</v>
      </c>
      <c r="Q36" s="141">
        <f t="shared" si="4"/>
        <v>70.25325431339172</v>
      </c>
      <c r="R36" s="141">
        <f t="shared" si="5"/>
        <v>22.070710764172688</v>
      </c>
      <c r="S36" s="119" t="str">
        <f>IMDIV(1/$D$37,COMPLEX(1-$B36*$B36*$D$40*$D$40,$B36*2*$D$26*$D$40,"j"))</f>
        <v>5.06606424615471E-003-1.0132138624448E-007j</v>
      </c>
      <c r="T36" s="111">
        <f>IMABS($S36)</f>
        <v>0.005066064247167924</v>
      </c>
      <c r="U36" s="111">
        <f t="shared" si="6"/>
        <v>1.0132128494335847E-05</v>
      </c>
      <c r="V36" s="119">
        <f t="shared" si="7"/>
        <v>1.0000009998009995E-06</v>
      </c>
      <c r="W36" s="120">
        <f t="shared" si="8"/>
        <v>3.183102044303331E-06</v>
      </c>
      <c r="X36" s="22" t="str">
        <f>IMPRODUCT(IMDIV($D$28,COMPLEX(1,$B36*$D$29,"j")),$AW36)</f>
        <v>5000000000</v>
      </c>
      <c r="Y36" s="106">
        <f>IMABS($X36)</f>
        <v>5000000000</v>
      </c>
      <c r="Z36" s="120" t="str">
        <f>IMPRODUCT($S36,$X36)</f>
        <v>25330321.2307736-506.6069312224j</v>
      </c>
      <c r="AA36" s="197">
        <f>IMABS($Z36)</f>
        <v>25330321.235839672</v>
      </c>
      <c r="AB36" s="111">
        <f t="shared" si="9"/>
        <v>50660.64247167935</v>
      </c>
      <c r="AC36" s="111">
        <f t="shared" si="10"/>
        <v>5000.004999005009</v>
      </c>
      <c r="AD36" s="120">
        <f t="shared" si="11"/>
        <v>15915.51022151669</v>
      </c>
      <c r="AE36" s="119" t="str">
        <f>IMPRODUCT($L36,$Z36)</f>
        <v>101.381736220742-202.593916389533j</v>
      </c>
      <c r="AF36" s="111">
        <f>IMABS($AE36)</f>
        <v>226.5448110135856</v>
      </c>
      <c r="AG36" s="111">
        <f t="shared" si="21"/>
        <v>225.5448110135856</v>
      </c>
      <c r="AH36" s="106">
        <f>IF(AND(IMREAL(AE36)&lt;0,IMAGINARY(AE36)&gt;0),180/PI()*IMARGUMENT($AE36)-360,180/PI()*IMARGUMENT($AE36))</f>
        <v>-63.41577110992975</v>
      </c>
      <c r="AI36" s="111" t="str">
        <f>IMDIV($Z36,IMSUM(1,IMPRODUCT($Z36,$L36)))</f>
        <v>50332.8233094148+99594.1030759714j</v>
      </c>
      <c r="AJ36" s="111">
        <f>IMABS($AI36)</f>
        <v>111590.22569115984</v>
      </c>
      <c r="AK36" s="120">
        <f>180/PI()*IMARGUMENT($AI36)</f>
        <v>63.1888992402706</v>
      </c>
      <c r="AL36" s="144">
        <f t="shared" si="12"/>
        <v>355202.72038976604</v>
      </c>
      <c r="AM36" s="106">
        <f t="shared" si="13"/>
        <v>223.1804513823197</v>
      </c>
      <c r="AN36" s="119" t="str">
        <f>IMPRODUCT($AI36,COMPLEX(0,$B36,"j"),$D$24)</f>
        <v>-62.5768205128672+31.6250455886581j</v>
      </c>
      <c r="AO36" s="111">
        <f>IMABS(AN36)</f>
        <v>70.11420664875486</v>
      </c>
      <c r="AP36" s="132">
        <f>180/PI()*IMARGUMENT($AN36)</f>
        <v>153.1888992402706</v>
      </c>
      <c r="AQ36" s="133">
        <f t="shared" si="14"/>
        <v>22.02702765200052</v>
      </c>
      <c r="AR36" s="133">
        <f t="shared" si="16"/>
        <v>4.364640224450135E-07</v>
      </c>
      <c r="AS36" s="779">
        <f t="shared" si="17"/>
        <v>0.6873418760140637</v>
      </c>
      <c r="AT36" s="143">
        <f t="shared" si="18"/>
        <v>250</v>
      </c>
      <c r="AU36" s="120">
        <f t="shared" si="19"/>
        <v>500</v>
      </c>
      <c r="AV36" s="130">
        <f t="shared" si="20"/>
        <v>1000000.0000000001</v>
      </c>
      <c r="AW36" s="582" t="str">
        <f>IF($D$10,IMDIV(COMPLEX(1,$B36/$D$49,"j"),COMPLEX(1,$B36/$D$50,"j")),COMPLEX(1,0,"j"))</f>
        <v>1</v>
      </c>
      <c r="AX36" s="184">
        <f>IMABS(AW36)</f>
        <v>1</v>
      </c>
      <c r="AY36" s="111"/>
    </row>
    <row r="37" spans="1:51" ht="15" customHeight="1">
      <c r="A37" s="136">
        <v>0.06</v>
      </c>
      <c r="B37" s="130">
        <f t="shared" si="0"/>
        <v>0.37699111843077515</v>
      </c>
      <c r="C37" s="216" t="s">
        <v>425</v>
      </c>
      <c r="D37" s="238">
        <f>4*PI()*PI()*$D$24/($D$27*$D$27)</f>
        <v>197.39208802178717</v>
      </c>
      <c r="E37" s="239" t="s">
        <v>53</v>
      </c>
      <c r="F37" s="243" t="s">
        <v>370</v>
      </c>
      <c r="G37" s="244"/>
      <c r="H37" s="119" t="str">
        <f>IMDIV(COMPLEX(0,$D$15*$D$23*$B37,"j"),COMPLEX(1,$B37*$D$16*$D$15*$D$23,"j"))</f>
        <v>1.79999999999984E-015+5.99999999999946E-009j</v>
      </c>
      <c r="I37" s="145">
        <f t="shared" si="15"/>
        <v>1E-05</v>
      </c>
      <c r="J37" s="150" t="str">
        <f>IMDIV(IF($D$12,$D$52/$D$19,$D$53)/$D$21,COMPLEX(1,$B37*IF($D$12,$D$52,$D$53*$D$19)*$D$17,"j"))</f>
        <v>4.42097033037352E-009-1.66666654939679E-005j</v>
      </c>
      <c r="K37" s="106" t="str">
        <f>IMSUM(IF($D$9,$H37,0),IF($D$7,$I37,0),IF($D$8,$J37,0))</f>
        <v>1.00044209721304E-005-1.66606654939679E-005j</v>
      </c>
      <c r="L37" s="139" t="str">
        <f>IMPRODUCT($D$22,$K37)</f>
        <v>4.00176838885216E-006-6.66426619758716E-006j</v>
      </c>
      <c r="M37" s="377">
        <f>IMABS($L37)</f>
        <v>7.773454456695507E-06</v>
      </c>
      <c r="N37" s="128">
        <f t="shared" si="1"/>
        <v>128642.9354633538</v>
      </c>
      <c r="O37" s="498">
        <f t="shared" si="2"/>
        <v>341235.98454740737</v>
      </c>
      <c r="P37" s="111">
        <f t="shared" si="3"/>
        <v>257.2858709267076</v>
      </c>
      <c r="Q37" s="141">
        <f t="shared" si="4"/>
        <v>96.99448823709557</v>
      </c>
      <c r="R37" s="141">
        <f t="shared" si="5"/>
        <v>36.56606060212332</v>
      </c>
      <c r="S37" s="119" t="str">
        <f>IMDIV(1/$D$37,COMPLEX(1-$B37*$B37*$D$40*$D$40,$B37*2*$D$26*$D$40,"j"))</f>
        <v>5.06606647433455E-003-1.21585770467539E-007j</v>
      </c>
      <c r="T37" s="111">
        <f>IMABS($S37)</f>
        <v>0.005066066475793581</v>
      </c>
      <c r="U37" s="111">
        <f t="shared" si="6"/>
        <v>1.0132132951587162E-05</v>
      </c>
      <c r="V37" s="119">
        <f t="shared" si="7"/>
        <v>1.440002073188263E-06</v>
      </c>
      <c r="W37" s="120">
        <f t="shared" si="8"/>
        <v>3.819724133508156E-06</v>
      </c>
      <c r="X37" s="22" t="str">
        <f>IMPRODUCT(IMDIV($D$28,COMPLEX(1,$B37*$D$29,"j")),$AW37)</f>
        <v>5000000000</v>
      </c>
      <c r="Y37" s="106">
        <f>IMABS($X37)</f>
        <v>5000000000</v>
      </c>
      <c r="Z37" s="120" t="str">
        <f>IMPRODUCT($S37,$X37)</f>
        <v>25330332.3716728-607.928852337695j</v>
      </c>
      <c r="AA37" s="197">
        <f>IMABS($Z37)</f>
        <v>25330332.378967956</v>
      </c>
      <c r="AB37" s="111">
        <f t="shared" si="9"/>
        <v>50660.66475793591</v>
      </c>
      <c r="AC37" s="111">
        <f t="shared" si="10"/>
        <v>7200.010365941329</v>
      </c>
      <c r="AD37" s="120">
        <f t="shared" si="11"/>
        <v>19098.620667540814</v>
      </c>
      <c r="AE37" s="119" t="str">
        <f>IMPRODUCT($L37,$Z37)</f>
        <v>101.362071964378-168.810510588651j</v>
      </c>
      <c r="AF37" s="111">
        <f>IMABS($AE37)</f>
        <v>196.90418512086734</v>
      </c>
      <c r="AG37" s="111">
        <f t="shared" si="21"/>
        <v>195.90418512086734</v>
      </c>
      <c r="AH37" s="106">
        <f>IF(AND(IMREAL(AE37)&lt;0,IMAGINARY(AE37)&gt;0),180/PI()*IMARGUMENT($AE37)-360,180/PI()*IMARGUMENT($AE37))</f>
        <v>-59.017338742672166</v>
      </c>
      <c r="AI37" s="111" t="str">
        <f>IMDIV($Z37,IMSUM(1,IMPRODUCT($Z37,$L37)))</f>
        <v>66529.0342522128+109710.48257153j</v>
      </c>
      <c r="AJ37" s="111">
        <f>IMABS($AI37)</f>
        <v>128306.2834962111</v>
      </c>
      <c r="AK37" s="120">
        <f>180/PI()*IMARGUMENT($AI37)</f>
        <v>58.767149207907686</v>
      </c>
      <c r="AL37" s="144">
        <f t="shared" si="12"/>
        <v>340342.98746953445</v>
      </c>
      <c r="AM37" s="106">
        <f t="shared" si="13"/>
        <v>256.6125669924222</v>
      </c>
      <c r="AN37" s="119" t="str">
        <f>IMPRODUCT($AI37,COMPLEX(0,$B37,"j"),$D$24)</f>
        <v>-82.7197550564423+50.1617100617221j</v>
      </c>
      <c r="AO37" s="111">
        <f>IMABS(AN37)</f>
        <v>96.74065863386544</v>
      </c>
      <c r="AP37" s="132">
        <f>180/PI()*IMARGUMENT($AN37)</f>
        <v>148.7671492079077</v>
      </c>
      <c r="AQ37" s="133">
        <f t="shared" si="14"/>
        <v>36.470369096110765</v>
      </c>
      <c r="AR37" s="133">
        <f t="shared" si="16"/>
        <v>5.018345980445131E-07</v>
      </c>
      <c r="AS37" s="779">
        <f t="shared" si="17"/>
        <v>0.5978065306158699</v>
      </c>
      <c r="AT37" s="143">
        <f t="shared" si="18"/>
        <v>300</v>
      </c>
      <c r="AU37" s="120">
        <f t="shared" si="19"/>
        <v>500</v>
      </c>
      <c r="AV37" s="130">
        <f t="shared" si="20"/>
        <v>833333.3333333335</v>
      </c>
      <c r="AW37" s="582" t="str">
        <f>IF($D$10,IMDIV(COMPLEX(1,$B37/$D$49,"j"),COMPLEX(1,$B37/$D$50,"j")),COMPLEX(1,0,"j"))</f>
        <v>1</v>
      </c>
      <c r="AX37" s="184">
        <f>IMABS(AW37)</f>
        <v>1</v>
      </c>
      <c r="AY37" s="111"/>
    </row>
    <row r="38" spans="1:51" ht="15.75">
      <c r="A38" s="136">
        <v>0.07</v>
      </c>
      <c r="B38" s="130">
        <f t="shared" si="0"/>
        <v>0.4398229715025711</v>
      </c>
      <c r="C38" s="217" t="s">
        <v>334</v>
      </c>
      <c r="D38" s="227">
        <f>1/$D$27</f>
        <v>50</v>
      </c>
      <c r="E38" s="120" t="s">
        <v>11</v>
      </c>
      <c r="F38" s="279" t="s">
        <v>338</v>
      </c>
      <c r="G38" s="212"/>
      <c r="H38" s="119" t="str">
        <f>IMDIV(COMPLEX(0,$D$15*$D$23*$B38,"j"),COMPLEX(1,$B38*$D$16*$D$15*$D$23,"j"))</f>
        <v>2.4499999999997E-015+6.99999999999914E-009j</v>
      </c>
      <c r="I38" s="145">
        <f t="shared" si="15"/>
        <v>1E-05</v>
      </c>
      <c r="J38" s="150" t="str">
        <f>IMDIV(IF($D$12,$D$52/$D$19,$D$53)/$D$21,COMPLEX(1,$B38*IF($D$12,$D$52,$D$53*$D$19)*$D$17,"j"))</f>
        <v>3.24805989519313E-009-1.42857135472217E-005j</v>
      </c>
      <c r="K38" s="106" t="str">
        <f>IMSUM(IF($D$9,$H38,0),IF($D$7,$I38,0),IF($D$8,$J38,0))</f>
        <v>1.00032480623452E-005-1.42787135472217E-005j</v>
      </c>
      <c r="L38" s="139" t="str">
        <f>IMPRODUCT($D$22,$K38)</f>
        <v>4.00129922493808E-006-5.71148541888868E-006j</v>
      </c>
      <c r="M38" s="377">
        <f>IMABS($L38)</f>
        <v>6.9736261139860435E-06</v>
      </c>
      <c r="N38" s="128">
        <f t="shared" si="1"/>
        <v>143397.4210338632</v>
      </c>
      <c r="O38" s="498">
        <f t="shared" si="2"/>
        <v>326034.4054881293</v>
      </c>
      <c r="P38" s="111">
        <f t="shared" si="3"/>
        <v>286.79484206772645</v>
      </c>
      <c r="Q38" s="141">
        <f t="shared" si="4"/>
        <v>126.13895964983803</v>
      </c>
      <c r="R38" s="141">
        <f t="shared" si="5"/>
        <v>55.47881205543468</v>
      </c>
      <c r="S38" s="119" t="str">
        <f>IMDIV(1/$D$37,COMPLEX(1-$B38*$B38*$D$40*$D$40,$B38*2*$D$26*$D$40,"j"))</f>
        <v>5.06606910764053E-003-1.41850213040352E-007j</v>
      </c>
      <c r="T38" s="111">
        <f>IMABS($S38)</f>
        <v>0.005066069109626437</v>
      </c>
      <c r="U38" s="111">
        <f t="shared" si="6"/>
        <v>1.0132138219252874E-05</v>
      </c>
      <c r="V38" s="119">
        <f t="shared" si="7"/>
        <v>1.960003840839204E-06</v>
      </c>
      <c r="W38" s="120">
        <f t="shared" si="8"/>
        <v>4.456347139266568E-06</v>
      </c>
      <c r="X38" s="22" t="str">
        <f>IMPRODUCT(IMDIV($D$28,COMPLEX(1,$B38*$D$29,"j")),$AW38)</f>
        <v>5000000000</v>
      </c>
      <c r="Y38" s="106">
        <f>IMABS($X38)</f>
        <v>5000000000</v>
      </c>
      <c r="Z38" s="120" t="str">
        <f>IMPRODUCT($S38,$X38)</f>
        <v>25330345.5382026-709.25106520176j</v>
      </c>
      <c r="AA38" s="197">
        <f>IMABS($Z38)</f>
        <v>25330345.548132133</v>
      </c>
      <c r="AB38" s="111">
        <f t="shared" si="9"/>
        <v>50660.691096264265</v>
      </c>
      <c r="AC38" s="111">
        <f t="shared" si="10"/>
        <v>9800.019204196</v>
      </c>
      <c r="AD38" s="120">
        <f t="shared" si="11"/>
        <v>22281.735696332795</v>
      </c>
      <c r="AE38" s="119" t="str">
        <f>IMPRODUCT($L38,$Z38)</f>
        <v>101.350241092307-144.676737122594j</v>
      </c>
      <c r="AF38" s="111">
        <f>IMABS($AE38)</f>
        <v>176.64435919074498</v>
      </c>
      <c r="AG38" s="111">
        <f t="shared" si="21"/>
        <v>175.64435919074498</v>
      </c>
      <c r="AH38" s="106">
        <f>IF(AND(IMREAL(AE38)&lt;0,IMAGINARY(AE38)&gt;0),180/PI()*IMARGUMENT($AE38)-360,180/PI()*IMARGUMENT($AE38))</f>
        <v>-54.98764529309626</v>
      </c>
      <c r="AI38" s="111" t="str">
        <f>IMDIV($Z38,IMSUM(1,IMPRODUCT($Z38,$L38)))</f>
        <v>82550.875724968+116682.500871349j</v>
      </c>
      <c r="AJ38" s="111">
        <f>IMABS($AI38)</f>
        <v>142931.63782924853</v>
      </c>
      <c r="AK38" s="120">
        <f>180/PI()*IMARGUMENT($AI38)</f>
        <v>54.72124565079865</v>
      </c>
      <c r="AL38" s="144">
        <f t="shared" si="12"/>
        <v>324975.38121064915</v>
      </c>
      <c r="AM38" s="106">
        <f t="shared" si="13"/>
        <v>285.86327565849706</v>
      </c>
      <c r="AN38" s="119" t="str">
        <f>IMPRODUCT($AI38,COMPLEX(0,$B38,"j"),$D$24)</f>
        <v>-102.639288511176+72.6155429229898j</v>
      </c>
      <c r="AO38" s="111">
        <f>IMABS(AN38)</f>
        <v>125.72923534357871</v>
      </c>
      <c r="AP38" s="132">
        <f>180/PI()*IMARGUMENT($AN38)</f>
        <v>144.7212456507986</v>
      </c>
      <c r="AQ38" s="133">
        <f t="shared" si="14"/>
        <v>55.29860589355891</v>
      </c>
      <c r="AR38" s="133">
        <f t="shared" si="16"/>
        <v>5.590676747493981E-07</v>
      </c>
      <c r="AS38" s="779">
        <f t="shared" si="17"/>
        <v>0.5366076658509632</v>
      </c>
      <c r="AT38" s="143">
        <f t="shared" si="18"/>
        <v>350.00000000000006</v>
      </c>
      <c r="AU38" s="120">
        <f t="shared" si="19"/>
        <v>500</v>
      </c>
      <c r="AV38" s="130">
        <f t="shared" si="20"/>
        <v>714285.7142857141</v>
      </c>
      <c r="AW38" s="582" t="str">
        <f>IF($D$10,IMDIV(COMPLEX(1,$B38/$D$49,"j"),COMPLEX(1,$B38/$D$50,"j")),COMPLEX(1,0,"j"))</f>
        <v>1</v>
      </c>
      <c r="AX38" s="184">
        <f>IMABS(AW38)</f>
        <v>1</v>
      </c>
      <c r="AY38" s="111"/>
    </row>
    <row r="39" spans="1:51" ht="15" customHeight="1">
      <c r="A39" s="136">
        <v>0.08</v>
      </c>
      <c r="B39" s="130">
        <f t="shared" si="0"/>
        <v>0.5026548245743669</v>
      </c>
      <c r="C39" s="218" t="s">
        <v>59</v>
      </c>
      <c r="D39" s="260">
        <f>2*PI()*$D$38</f>
        <v>314.1592653589793</v>
      </c>
      <c r="E39" s="241" t="s">
        <v>60</v>
      </c>
      <c r="F39" s="27"/>
      <c r="G39" s="208"/>
      <c r="H39" s="119" t="str">
        <f>IMDIV(COMPLEX(0,$D$15*$D$23*$B39,"j"),COMPLEX(1,$B39*$D$16*$D$15*$D$23,"j"))</f>
        <v>3.19999999999949E-015+7.99999999999872E-009j</v>
      </c>
      <c r="I39" s="145">
        <f t="shared" si="15"/>
        <v>1E-05</v>
      </c>
      <c r="J39" s="150" t="str">
        <f>IMDIV(IF($D$12,$D$52/$D$19,$D$53)/$D$21,COMPLEX(1,$B39*IF($D$12,$D$52,$D$53*$D$19)*$D$17,"j"))</f>
        <v>2.486795887387E-009-1.24999995052677E-005j</v>
      </c>
      <c r="K39" s="106" t="str">
        <f>IMSUM(IF($D$9,$H39,0),IF($D$7,$I39,0),IF($D$8,$J39,0))</f>
        <v>1.00024867990874E-005-1.24919995052677E-005j</v>
      </c>
      <c r="L39" s="139" t="str">
        <f>IMPRODUCT($D$22,$K39)</f>
        <v>4.00099471963496E-006-4.99679980210708E-006j</v>
      </c>
      <c r="M39" s="377">
        <f>IMABS($L39)</f>
        <v>6.40124730102534E-06</v>
      </c>
      <c r="N39" s="128">
        <f aca="true" t="shared" si="23" ref="N39:N70">1/$M39</f>
        <v>156219.55424840748</v>
      </c>
      <c r="O39" s="498">
        <f aca="true" t="shared" si="24" ref="O39:O70">$N39/$B39</f>
        <v>310788.92832808185</v>
      </c>
      <c r="P39" s="111">
        <f aca="true" t="shared" si="25" ref="P39:P70">$N39*$D$24</f>
        <v>312.439108496815</v>
      </c>
      <c r="Q39" s="141">
        <f aca="true" t="shared" si="26" ref="Q39:Q70">+$N39*$D$24*$B39</f>
        <v>157.04902527163813</v>
      </c>
      <c r="R39" s="141">
        <f aca="true" t="shared" si="27" ref="R39:R70">Q39*B39</f>
        <v>78.94145024749058</v>
      </c>
      <c r="S39" s="119" t="str">
        <f>IMDIV(1/$D$37,COMPLEX(1-$B39*$B39*$D$40*$D$40,$B39*2*$D$26*$D$40,"j"))</f>
        <v>5.06607214607391E-003-1.62114723688058E-007j</v>
      </c>
      <c r="T39" s="111">
        <f>IMABS($S39)</f>
        <v>0.005066072148667753</v>
      </c>
      <c r="U39" s="111">
        <f aca="true" t="shared" si="28" ref="U39:U70">$T39*$D$24</f>
        <v>1.0132144297335506E-05</v>
      </c>
      <c r="V39" s="119">
        <f aca="true" t="shared" si="29" ref="V39:V70">$T39*$D$24*$B39*$B39</f>
        <v>2.560006552306047E-06</v>
      </c>
      <c r="W39" s="120">
        <f aca="true" t="shared" si="30" ref="W39:W70">$T39*$D$24*$B39</f>
        <v>5.092971214339351E-06</v>
      </c>
      <c r="X39" s="22" t="str">
        <f>IMPRODUCT(IMDIV($D$28,COMPLEX(1,$B39*$D$29,"j")),$AW39)</f>
        <v>5000000000</v>
      </c>
      <c r="Y39" s="106">
        <f>IMABS($X39)</f>
        <v>5000000000</v>
      </c>
      <c r="Z39" s="120" t="str">
        <f>IMPRODUCT($S39,$X39)</f>
        <v>25330360.7303696-810.57361844029j</v>
      </c>
      <c r="AA39" s="197">
        <f>IMABS($Z39)</f>
        <v>25330360.743338812</v>
      </c>
      <c r="AB39" s="111">
        <f aca="true" t="shared" si="31" ref="AB39:AB70">$AA39*$D$24</f>
        <v>50660.72148667763</v>
      </c>
      <c r="AC39" s="111">
        <f aca="true" t="shared" si="32" ref="AC39:AC70">AA39*$D$24*B39*B39</f>
        <v>12800.032761530261</v>
      </c>
      <c r="AD39" s="120">
        <f aca="true" t="shared" si="33" ref="AD39:AD70">$AA39*$D$24*$B39</f>
        <v>25464.856071696806</v>
      </c>
      <c r="AE39" s="119" t="str">
        <f>IMPRODUCT($L39,$Z39)</f>
        <v>101.342589254561-126.573984585579j</v>
      </c>
      <c r="AF39" s="111">
        <f>IMABS($AE39)</f>
        <v>162.14590334229555</v>
      </c>
      <c r="AG39" s="111">
        <f t="shared" si="21"/>
        <v>161.14590334229555</v>
      </c>
      <c r="AH39" s="106">
        <f>IF(AND(IMREAL(AE39)&lt;0,IMAGINARY(AE39)&gt;0),180/PI()*IMARGUMENT($AE39)-360,180/PI()*IMARGUMENT($AE39))</f>
        <v>-51.317178967830316</v>
      </c>
      <c r="AI39" s="111" t="str">
        <f>IMDIV($Z39,IMSUM(1,IMPRODUCT($Z39,$L39)))</f>
        <v>97847.8709808391+121007.143065711j</v>
      </c>
      <c r="AJ39" s="111">
        <f>IMABS($AI39)</f>
        <v>155617.91197805086</v>
      </c>
      <c r="AK39" s="120">
        <f>180/PI()*IMARGUMENT($AI39)</f>
        <v>51.04056811860346</v>
      </c>
      <c r="AL39" s="144">
        <f aca="true" t="shared" si="34" ref="AL39:AL70">$AJ39/$B39</f>
        <v>309591.99906182825</v>
      </c>
      <c r="AM39" s="106">
        <f aca="true" t="shared" si="35" ref="AM39:AM70">$AJ39*$D$24</f>
        <v>311.23582395610174</v>
      </c>
      <c r="AN39" s="119" t="str">
        <f>IMPRODUCT($AI39,COMPLEX(0,$B39,"j"),$D$24)</f>
        <v>-121.649648539881+98.367408845698j</v>
      </c>
      <c r="AO39" s="111">
        <f>IMABS(AN39)</f>
        <v>156.44418849191322</v>
      </c>
      <c r="AP39" s="132">
        <f>180/PI()*IMARGUMENT($AN39)</f>
        <v>141.04056811860355</v>
      </c>
      <c r="AQ39" s="133">
        <f aca="true" t="shared" si="36" ref="AQ39:AQ70">AJ39*$D$24*B39*B39</f>
        <v>78.63742612208166</v>
      </c>
      <c r="AR39" s="133">
        <f t="shared" si="16"/>
        <v>6.087512856152432E-07</v>
      </c>
      <c r="AS39" s="779">
        <f t="shared" si="17"/>
        <v>0.49281210091704475</v>
      </c>
      <c r="AT39" s="143">
        <f t="shared" si="18"/>
        <v>400.00000000000006</v>
      </c>
      <c r="AU39" s="120">
        <f t="shared" si="19"/>
        <v>500</v>
      </c>
      <c r="AV39" s="130">
        <f t="shared" si="20"/>
        <v>624999.9999999999</v>
      </c>
      <c r="AW39" s="582" t="str">
        <f>IF($D$10,IMDIV(COMPLEX(1,$B39/$D$49,"j"),COMPLEX(1,$B39/$D$50,"j")),COMPLEX(1,0,"j"))</f>
        <v>1</v>
      </c>
      <c r="AX39" s="184">
        <f>IMABS(AW39)</f>
        <v>1</v>
      </c>
      <c r="AY39" s="111"/>
    </row>
    <row r="40" spans="1:51" ht="15" customHeight="1">
      <c r="A40" s="136">
        <v>0.09</v>
      </c>
      <c r="B40" s="130">
        <f t="shared" si="0"/>
        <v>0.5654866776461628</v>
      </c>
      <c r="C40" s="207" t="s">
        <v>54</v>
      </c>
      <c r="D40" s="229">
        <f>$D$27/(2*PI())</f>
        <v>0.003183098861837907</v>
      </c>
      <c r="E40" s="135" t="s">
        <v>46</v>
      </c>
      <c r="F40" s="258" t="s">
        <v>381</v>
      </c>
      <c r="G40" s="210"/>
      <c r="H40" s="119" t="str">
        <f>IMDIV(COMPLEX(0,$D$15*$D$23*$B40,"j"),COMPLEX(1,$B40*$D$16*$D$15*$D$23,"j"))</f>
        <v>4.04999999999918E-015+8.99999999999818E-009j</v>
      </c>
      <c r="I40" s="145">
        <f t="shared" si="15"/>
        <v>1E-05</v>
      </c>
      <c r="J40" s="150" t="str">
        <f>IMDIV(IF($D$12,$D$52/$D$19,$D$53)/$D$21,COMPLEX(1,$B40*IF($D$12,$D$52,$D$53*$D$19)*$D$17,"j"))</f>
        <v>1.96487577919514E-009-1.11111107636448E-005j</v>
      </c>
      <c r="K40" s="106" t="str">
        <f>IMSUM(IF($D$9,$H40,0),IF($D$7,$I40,0),IF($D$8,$J40,0))</f>
        <v>1.00019648798292E-005-1.11021107636448E-005j</v>
      </c>
      <c r="L40" s="139" t="str">
        <f>IMPRODUCT($D$22,$K40)</f>
        <v>4.00078595193168E-006-4.44084430545792E-006j</v>
      </c>
      <c r="M40" s="377">
        <f>IMABS($L40)</f>
        <v>5.977239026380986E-06</v>
      </c>
      <c r="N40" s="128">
        <f t="shared" si="23"/>
        <v>167301.323501775</v>
      </c>
      <c r="O40" s="498">
        <f t="shared" si="24"/>
        <v>295853.6957902642</v>
      </c>
      <c r="P40" s="111">
        <f t="shared" si="25"/>
        <v>334.60264700355003</v>
      </c>
      <c r="Q40" s="141">
        <f t="shared" si="26"/>
        <v>189.2133391856493</v>
      </c>
      <c r="R40" s="141">
        <f t="shared" si="27"/>
        <v>106.99762254242933</v>
      </c>
      <c r="S40" s="119" t="str">
        <f>IMDIV(1/$D$37,COMPLEX(1-$B40*$B40*$D$40*$D$40,$B40*2*$D$26*$D$40,"j"))</f>
        <v>5.06607558963614E-003-1.82379312135872E-007j</v>
      </c>
      <c r="T40" s="111">
        <f>IMABS($S40)</f>
        <v>0.0050660755929189775</v>
      </c>
      <c r="U40" s="111">
        <f t="shared" si="28"/>
        <v>1.0132151185837955E-05</v>
      </c>
      <c r="V40" s="119">
        <f t="shared" si="29"/>
        <v>3.2400104955344693E-06</v>
      </c>
      <c r="W40" s="120">
        <f t="shared" si="30"/>
        <v>5.729596511488134E-06</v>
      </c>
      <c r="X40" s="22" t="str">
        <f>IMPRODUCT(IMDIV($D$28,COMPLEX(1,$B40*$D$29,"j")),$AW40)</f>
        <v>5000000000</v>
      </c>
      <c r="Y40" s="106">
        <f>IMABS($X40)</f>
        <v>5000000000</v>
      </c>
      <c r="Z40" s="120" t="str">
        <f>IMPRODUCT($S40,$X40)</f>
        <v>25330377.9481807-911.89656067936j</v>
      </c>
      <c r="AA40" s="197">
        <f>IMABS($Z40)</f>
        <v>25330377.96459489</v>
      </c>
      <c r="AB40" s="111">
        <f t="shared" si="31"/>
        <v>50660.75592918978</v>
      </c>
      <c r="AC40" s="111">
        <f t="shared" si="32"/>
        <v>16200.052477672347</v>
      </c>
      <c r="AD40" s="120">
        <f t="shared" si="33"/>
        <v>28647.98255744067</v>
      </c>
      <c r="AE40" s="119" t="str">
        <f>IMPRODUCT($L40,$Z40)</f>
        <v>101.337370661553-112.491912969225j</v>
      </c>
      <c r="AF40" s="111">
        <f>IMABS($AE40)</f>
        <v>151.40572372295796</v>
      </c>
      <c r="AG40" s="111">
        <f t="shared" si="21"/>
        <v>150.40572372295796</v>
      </c>
      <c r="AH40" s="106">
        <f>IF(AND(IMREAL(AE40)&lt;0,IMAGINARY(AE40)&gt;0),180/PI()*IMARGUMENT($AE40)-360,180/PI()*IMARGUMENT($AE40))</f>
        <v>-47.986164500782415</v>
      </c>
      <c r="AI40" s="111" t="str">
        <f>IMDIV($Z40,IMSUM(1,IMPRODUCT($Z40,$L40)))</f>
        <v>112090.008137884+123203.356331127j</v>
      </c>
      <c r="AJ40" s="111">
        <f>IMABS($AI40)</f>
        <v>166563.0119072225</v>
      </c>
      <c r="AK40" s="120">
        <f>180/PI()*IMARGUMENT($AI40)</f>
        <v>47.704177763064244</v>
      </c>
      <c r="AL40" s="144">
        <f t="shared" si="34"/>
        <v>294548.0742367631</v>
      </c>
      <c r="AM40" s="106">
        <f t="shared" si="35"/>
        <v>333.12602381444503</v>
      </c>
      <c r="AN40" s="119" t="str">
        <f>IMPRODUCT($AI40,COMPLEX(0,$B40,"j"),$D$24)</f>
        <v>-139.339713293091+126.770812598447j</v>
      </c>
      <c r="AO40" s="111">
        <f>IMABS(AN40)</f>
        <v>188.37832844430744</v>
      </c>
      <c r="AP40" s="132">
        <f>180/PI()*IMARGUMENT($AN40)</f>
        <v>137.70417776306425</v>
      </c>
      <c r="AQ40" s="133">
        <f t="shared" si="36"/>
        <v>106.52543509250881</v>
      </c>
      <c r="AR40" s="133">
        <f t="shared" si="16"/>
        <v>6.516510239741282E-07</v>
      </c>
      <c r="AS40" s="779">
        <f t="shared" si="17"/>
        <v>0.46036910702669376</v>
      </c>
      <c r="AT40" s="143">
        <f t="shared" si="18"/>
        <v>450.00000000000006</v>
      </c>
      <c r="AU40" s="120">
        <f t="shared" si="19"/>
        <v>500</v>
      </c>
      <c r="AV40" s="130">
        <f t="shared" si="20"/>
        <v>555555.5555555556</v>
      </c>
      <c r="AW40" s="582" t="str">
        <f>IF($D$10,IMDIV(COMPLEX(1,$B40/$D$49,"j"),COMPLEX(1,$B40/$D$50,"j")),COMPLEX(1,0,"j"))</f>
        <v>1</v>
      </c>
      <c r="AX40" s="184">
        <f>IMABS(AW40)</f>
        <v>1</v>
      </c>
      <c r="AY40" s="111"/>
    </row>
    <row r="41" spans="1:51" ht="15" customHeight="1">
      <c r="A41" s="118">
        <v>0.1</v>
      </c>
      <c r="B41" s="130">
        <f aca="true" t="shared" si="37" ref="B41:B72">2*PI()*A41</f>
        <v>0.6283185307179586</v>
      </c>
      <c r="C41" s="219" t="s">
        <v>426</v>
      </c>
      <c r="D41" s="227">
        <f>1/2/$D$26</f>
        <v>50</v>
      </c>
      <c r="E41" s="211"/>
      <c r="F41" s="276" t="s">
        <v>339</v>
      </c>
      <c r="G41" s="212"/>
      <c r="H41" s="139" t="str">
        <f>IMDIV(COMPLEX(0,$D$15*$D$23*$B41,"j"),COMPLEX(1,$B41*$D$16*$D$15*$D$23,"j"))</f>
        <v>4.99999999999875E-015+9.9999999999975E-009j</v>
      </c>
      <c r="I41" s="145">
        <f t="shared" si="15"/>
        <v>1E-05</v>
      </c>
      <c r="J41" s="150" t="str">
        <f>IMDIV(IF($D$12,$D$52/$D$19,$D$53)/$D$21,COMPLEX(1,$B41*IF($D$12,$D$52,$D$53*$D$19)*$D$17,"j"))</f>
        <v>1.59154939060453E-009-9.99999974669704E-006j</v>
      </c>
      <c r="K41" s="140" t="str">
        <f>IMSUM(IF($D$9,$H41,0),IF($D$7,$I41,0),IF($D$8,$J41,0))</f>
        <v>1.00015915543906E-005-9.98999974669704E-006j</v>
      </c>
      <c r="L41" s="139" t="str">
        <f>IMPRODUCT($D$22,$K41)</f>
        <v>4.00063662175624E-006-3.99599989867882E-006j</v>
      </c>
      <c r="M41" s="377">
        <f>IMABS($L41)</f>
        <v>5.65447686082261E-06</v>
      </c>
      <c r="N41" s="141">
        <f t="shared" si="23"/>
        <v>176851.01992875087</v>
      </c>
      <c r="O41" s="498">
        <f t="shared" si="24"/>
        <v>281467.14012503996</v>
      </c>
      <c r="P41" s="141">
        <f t="shared" si="25"/>
        <v>353.70203985750175</v>
      </c>
      <c r="Q41" s="141">
        <f t="shared" si="26"/>
        <v>222.23754599521033</v>
      </c>
      <c r="R41" s="141">
        <f t="shared" si="27"/>
        <v>139.6359683700753</v>
      </c>
      <c r="S41" s="119" t="str">
        <f>IMDIV(1/$D$37,COMPLEX(1-$B41*$B41*$D$40*$D$40,$B41*2*$D$26*$D$40,"j"))</f>
        <v>5.06607943832888E-003-2.02643988109108E-007j</v>
      </c>
      <c r="T41" s="111">
        <f>IMABS($S41)</f>
        <v>0.0050660794423817756</v>
      </c>
      <c r="U41" s="111">
        <f t="shared" si="28"/>
        <v>1.0132158884763552E-05</v>
      </c>
      <c r="V41" s="143">
        <f t="shared" si="29"/>
        <v>4.000015996863959E-06</v>
      </c>
      <c r="W41" s="144">
        <f t="shared" si="30"/>
        <v>6.366223183475545E-06</v>
      </c>
      <c r="X41" s="22" t="str">
        <f>IMPRODUCT(IMDIV($D$28,COMPLEX(1,$B41*$D$29,"j")),$AW41)</f>
        <v>5000000000</v>
      </c>
      <c r="Y41" s="106">
        <f>IMABS($X41)</f>
        <v>5000000000</v>
      </c>
      <c r="Z41" s="111" t="str">
        <f>IMPRODUCT($S41,$X41)</f>
        <v>25330397.1916444-1013.21994054554j</v>
      </c>
      <c r="AA41" s="197">
        <f>IMABS($Z41)</f>
        <v>25330397.211908877</v>
      </c>
      <c r="AB41" s="111">
        <f t="shared" si="31"/>
        <v>50660.79442381775</v>
      </c>
      <c r="AC41" s="111">
        <f t="shared" si="32"/>
        <v>20000.079984319793</v>
      </c>
      <c r="AD41" s="145">
        <f t="shared" si="33"/>
        <v>31831.11591737772</v>
      </c>
      <c r="AE41" s="119" t="str">
        <f>IMPRODUCT($L41,$Z41)</f>
        <v>101.333665821744-101.224318136105j</v>
      </c>
      <c r="AF41" s="141">
        <f>IMABS($AE41)</f>
        <v>143.23014491018392</v>
      </c>
      <c r="AG41" s="111">
        <f t="shared" si="21"/>
        <v>142.23014491018392</v>
      </c>
      <c r="AH41" s="106">
        <f>IF(AND(IMREAL(AE41)&lt;0,IMAGINARY(AE41)&gt;0),180/PI()*IMARGUMENT($AE41)-360,180/PI()*IMARGUMENT($AE41))</f>
        <v>-44.96906979347038</v>
      </c>
      <c r="AI41" s="111" t="str">
        <f>IMDIV($Z41,IMSUM(1,IMPRODUCT($Z41,$L41)))</f>
        <v>125117.635982309+123751.397621478j</v>
      </c>
      <c r="AJ41" s="141">
        <f>IMABS($AI41)</f>
        <v>175979.6330461873</v>
      </c>
      <c r="AK41" s="147">
        <f>180/PI()*IMARGUMENT($AI41)</f>
        <v>44.6854614478419</v>
      </c>
      <c r="AL41" s="144">
        <f t="shared" si="34"/>
        <v>280080.2848279856</v>
      </c>
      <c r="AM41" s="146">
        <f t="shared" si="35"/>
        <v>351.9592660923746</v>
      </c>
      <c r="AN41" s="119" t="str">
        <f>IMPRODUCT($AI41,COMPLEX(0,$B41,"j"),$D$24)</f>
        <v>-155.510592655642+157.227458414618j</v>
      </c>
      <c r="AO41" s="142">
        <f>IMABS(AN41)</f>
        <v>221.14252894373223</v>
      </c>
      <c r="AP41" s="132">
        <f>180/PI()*IMARGUMENT($AN41)</f>
        <v>134.68546144784185</v>
      </c>
      <c r="AQ41" s="133">
        <f t="shared" si="36"/>
        <v>138.94794886517923</v>
      </c>
      <c r="AR41" s="133">
        <f t="shared" si="16"/>
        <v>6.885899022725019E-07</v>
      </c>
      <c r="AS41" s="779">
        <f t="shared" si="17"/>
        <v>0.43567295862157196</v>
      </c>
      <c r="AT41" s="143">
        <f t="shared" si="18"/>
        <v>500</v>
      </c>
      <c r="AU41" s="120">
        <f t="shared" si="19"/>
        <v>500</v>
      </c>
      <c r="AV41" s="130">
        <f t="shared" si="20"/>
        <v>500000.00000000006</v>
      </c>
      <c r="AW41" s="582" t="str">
        <f>IF($D$10,IMDIV(COMPLEX(1,$B41/$D$49,"j"),COMPLEX(1,$B41/$D$50,"j")),COMPLEX(1,0,"j"))</f>
        <v>1</v>
      </c>
      <c r="AX41" s="149">
        <f>IMABS(AW41)</f>
        <v>1</v>
      </c>
      <c r="AY41" s="111"/>
    </row>
    <row r="42" spans="1:51" ht="15" customHeight="1" thickBot="1">
      <c r="A42" s="118">
        <v>0.15</v>
      </c>
      <c r="B42" s="130">
        <f t="shared" si="37"/>
        <v>0.9424777960769379</v>
      </c>
      <c r="C42" s="220" t="s">
        <v>427</v>
      </c>
      <c r="D42" s="230">
        <f>2*$D$26*$D$24*$D$39</f>
        <v>0.012566370614359173</v>
      </c>
      <c r="E42" s="213" t="s">
        <v>303</v>
      </c>
      <c r="F42" s="258"/>
      <c r="G42" s="277"/>
      <c r="H42" s="139" t="str">
        <f>IMDIV(COMPLEX(0,$D$15*$D$23*$B42,"j"),COMPLEX(1,$B42*$D$16*$D$15*$D$23,"j"))</f>
        <v>1.12499999999937E-014+1.49999999999916E-008j</v>
      </c>
      <c r="I42" s="145">
        <f t="shared" si="15"/>
        <v>1E-05</v>
      </c>
      <c r="J42" s="150" t="str">
        <f>IMDIV(IF($D$12,$D$52/$D$19,$D$53)/$D$21,COMPLEX(1,$B42*IF($D$12,$D$52,$D$53*$D$19)*$D$17,"j"))</f>
        <v>7.07355294667304E-010-6.66666659161394E-006j</v>
      </c>
      <c r="K42" s="140" t="str">
        <f>IMSUM(IF($D$9,$H42,0),IF($D$7,$I42,0),IF($D$8,$J42,0))</f>
        <v>1.00007073665447E-005-6.65166659161395E-006j</v>
      </c>
      <c r="L42" s="139" t="str">
        <f>IMPRODUCT($D$22,$K42)</f>
        <v>4.00028294661788E-006-2.66066663664558E-006j</v>
      </c>
      <c r="M42" s="377">
        <f>IMABS($L42)</f>
        <v>4.804311668112378E-06</v>
      </c>
      <c r="N42" s="141">
        <f t="shared" si="23"/>
        <v>208146.36290923684</v>
      </c>
      <c r="O42" s="498">
        <f t="shared" si="24"/>
        <v>220850.15029069723</v>
      </c>
      <c r="P42" s="141">
        <f t="shared" si="25"/>
        <v>416.2927258184737</v>
      </c>
      <c r="Q42" s="141">
        <f t="shared" si="26"/>
        <v>392.3466507522561</v>
      </c>
      <c r="R42" s="141">
        <f t="shared" si="27"/>
        <v>369.7780066991544</v>
      </c>
      <c r="S42" s="119" t="str">
        <f>IMDIV(1/$D$37,COMPLEX(1-$B42*$B42*$D$40*$D$40,$B42*2*$D$26*$D$40,"j"))</f>
        <v>5.06610475882158E-003-3.03969021250486E-007j</v>
      </c>
      <c r="T42" s="111">
        <f>IMABS($S42)</f>
        <v>0.005066104767940733</v>
      </c>
      <c r="U42" s="111">
        <f t="shared" si="28"/>
        <v>1.0132209535881466E-05</v>
      </c>
      <c r="V42" s="143">
        <f t="shared" si="29"/>
        <v>9.000080984528574E-06</v>
      </c>
      <c r="W42" s="144">
        <f t="shared" si="30"/>
        <v>9.549382512767298E-06</v>
      </c>
      <c r="X42" s="22" t="str">
        <f>IMPRODUCT(IMDIV($D$28,COMPLEX(1,$B42*$D$29,"j")),$AW42)</f>
        <v>5000000000</v>
      </c>
      <c r="Y42" s="106">
        <f>IMABS($X42)</f>
        <v>5000000000</v>
      </c>
      <c r="Z42" s="111" t="str">
        <f>IMPRODUCT($S42,$X42)</f>
        <v>25330523.7941079-1519.84510625243j</v>
      </c>
      <c r="AA42" s="197">
        <f>IMABS($Z42)</f>
        <v>25330523.83970366</v>
      </c>
      <c r="AB42" s="111">
        <f t="shared" si="31"/>
        <v>50661.04767940732</v>
      </c>
      <c r="AC42" s="111">
        <f t="shared" si="32"/>
        <v>45000.40492264286</v>
      </c>
      <c r="AD42" s="145">
        <f t="shared" si="33"/>
        <v>47746.91256383648</v>
      </c>
      <c r="AE42" s="119" t="str">
        <f>IMPRODUCT($L42,$Z42)</f>
        <v>101.325218561301-67.4021593581999j</v>
      </c>
      <c r="AF42" s="141">
        <f>IMABS($AE42)</f>
        <v>121.69573124248686</v>
      </c>
      <c r="AG42" s="111">
        <f t="shared" si="21"/>
        <v>120.69573124248686</v>
      </c>
      <c r="AH42" s="106">
        <f>IF(AND(IMREAL(AE42)&lt;0,IMAGINARY(AE42)&gt;0),180/PI()*IMARGUMENT($AE42)-360,180/PI()*IMARGUMENT($AE42))</f>
        <v>-33.63209548411162</v>
      </c>
      <c r="AI42" s="111" t="str">
        <f>IMDIV($Z42,IMSUM(1,IMPRODUCT($Z42,$L42)))</f>
        <v>172648.18834871+113709.416138774j</v>
      </c>
      <c r="AJ42" s="141">
        <f>IMABS($AI42)</f>
        <v>206729.84365764057</v>
      </c>
      <c r="AK42" s="147">
        <f>180/PI()*IMARGUMENT($AI42)</f>
        <v>33.36966854943253</v>
      </c>
      <c r="AL42" s="144">
        <f t="shared" si="34"/>
        <v>219347.1766848547</v>
      </c>
      <c r="AM42" s="146">
        <f t="shared" si="35"/>
        <v>413.45968731528114</v>
      </c>
      <c r="AN42" s="119" t="str">
        <f>IMPRODUCT($AI42,COMPLEX(0,$B42,"j"),$D$24)</f>
        <v>-214.337199831334+325.434168103137j</v>
      </c>
      <c r="AO42" s="142">
        <f>IMABS(AN42)</f>
        <v>389.67657486756633</v>
      </c>
      <c r="AP42" s="132">
        <f>180/PI()*IMARGUMENT($AN42)</f>
        <v>123.36966854943248</v>
      </c>
      <c r="AQ42" s="133">
        <f t="shared" si="36"/>
        <v>367.2615194639935</v>
      </c>
      <c r="AR42" s="133">
        <f t="shared" si="16"/>
        <v>8.094488444298802E-07</v>
      </c>
      <c r="AS42" s="779">
        <f t="shared" si="17"/>
        <v>0.37062255640293024</v>
      </c>
      <c r="AT42" s="143">
        <f t="shared" si="18"/>
        <v>750</v>
      </c>
      <c r="AU42" s="120">
        <f t="shared" si="19"/>
        <v>500</v>
      </c>
      <c r="AV42" s="130">
        <f t="shared" si="20"/>
        <v>333333.3333333333</v>
      </c>
      <c r="AW42" s="582" t="str">
        <f>IF($D$10,IMDIV(COMPLEX(1,$B42/$D$49,"j"),COMPLEX(1,$B42/$D$50,"j")),COMPLEX(1,0,"j"))</f>
        <v>1</v>
      </c>
      <c r="AX42" s="149">
        <f>IMABS(AW42)</f>
        <v>1</v>
      </c>
      <c r="AY42" s="111"/>
    </row>
    <row r="43" spans="1:51" ht="18" customHeight="1" thickBot="1">
      <c r="A43" s="118">
        <v>0.2</v>
      </c>
      <c r="B43" s="130">
        <f t="shared" si="37"/>
        <v>1.2566370614359172</v>
      </c>
      <c r="C43" s="584" t="s">
        <v>622</v>
      </c>
      <c r="D43" s="585">
        <f>D24*D20/(D22*D23)</f>
        <v>500</v>
      </c>
      <c r="E43" s="586" t="s">
        <v>788</v>
      </c>
      <c r="F43" s="245" t="s">
        <v>345</v>
      </c>
      <c r="G43" s="246"/>
      <c r="H43" s="587" t="str">
        <f>IMDIV(COMPLEX(0,$D$15*$D$23*$B43,"j"),COMPLEX(1,$B43*$D$16*$D$15*$D$23,"j"))</f>
        <v>1.999999999998E-014+1.999999999998E-008j</v>
      </c>
      <c r="I43" s="588">
        <f t="shared" si="15"/>
        <v>1E-05</v>
      </c>
      <c r="J43" s="589" t="str">
        <f>IMDIV(IF($D$12,$D$52/$D$19,$D$53)/$D$21,COMPLEX(1,$B43*IF($D$12,$D$52,$D$53*$D$19)*$D$17,"j"))</f>
        <v>3.97887355210085E-010-4.99999996833712E-006j</v>
      </c>
      <c r="K43" s="590" t="str">
        <f>IMSUM(IF($D$9,$H43,0),IF($D$7,$I43,0),IF($D$8,$J43,0))</f>
        <v>1.00003979073552E-005-4.97999996833714E-006j</v>
      </c>
      <c r="L43" s="587" t="str">
        <f>IMPRODUCT($D$22,$K43)</f>
        <v>4.00015916294208E-006-1.99199998733486E-006j</v>
      </c>
      <c r="M43" s="591">
        <f>IMABS($L43)</f>
        <v>4.468706443526087E-06</v>
      </c>
      <c r="N43" s="592">
        <f t="shared" si="23"/>
        <v>223778.40492268672</v>
      </c>
      <c r="O43" s="593">
        <f t="shared" si="24"/>
        <v>178077.1965033266</v>
      </c>
      <c r="P43" s="592">
        <f t="shared" si="25"/>
        <v>447.55680984537344</v>
      </c>
      <c r="Q43" s="592">
        <f t="shared" si="26"/>
        <v>562.4164743497237</v>
      </c>
      <c r="R43" s="592">
        <f t="shared" si="27"/>
        <v>706.7533856299857</v>
      </c>
      <c r="S43" s="594" t="str">
        <f>IMDIV(1/$D$37,COMPLEX(1-$B43*$B43*$D$40*$D$40,$B43*2*$D$26*$D$40,"j"))</f>
        <v>5.0661402079364E-003-4.05297701398134E-007j</v>
      </c>
      <c r="T43" s="595">
        <f>IMABS($S43)</f>
        <v>0.005066140224148568</v>
      </c>
      <c r="U43" s="595">
        <f t="shared" si="28"/>
        <v>1.0132280448297136E-05</v>
      </c>
      <c r="V43" s="596">
        <f t="shared" si="29"/>
        <v>1.600025595289361E-05</v>
      </c>
      <c r="W43" s="597">
        <f t="shared" si="30"/>
        <v>1.273259912819271E-05</v>
      </c>
      <c r="X43" s="22" t="str">
        <f>IMPRODUCT(IMDIV($D$28,COMPLEX(1,$B43*$D$29,"j")),$AW43)</f>
        <v>5000000000</v>
      </c>
      <c r="Y43" s="598">
        <f>IMABS($X43)</f>
        <v>5000000000</v>
      </c>
      <c r="Z43" s="595" t="str">
        <f>IMPRODUCT($S43,$X43)</f>
        <v>25330701.039682-2026.48850699067j</v>
      </c>
      <c r="AA43" s="599">
        <f>IMABS($Z43)</f>
        <v>25330701.12074284</v>
      </c>
      <c r="AB43" s="595">
        <f t="shared" si="31"/>
        <v>50661.40224148568</v>
      </c>
      <c r="AC43" s="595">
        <f t="shared" si="32"/>
        <v>80001.27976446805</v>
      </c>
      <c r="AD43" s="588">
        <f t="shared" si="33"/>
        <v>63662.995640963556</v>
      </c>
      <c r="AE43" s="594" t="str">
        <f>IMPRODUCT($L43,$Z43)</f>
        <v>101.32279910255-50.4668624267995j</v>
      </c>
      <c r="AF43" s="592">
        <f>IMABS($AE43)</f>
        <v>113.19546731729682</v>
      </c>
      <c r="AG43" s="595">
        <f t="shared" si="21"/>
        <v>112.19546731729682</v>
      </c>
      <c r="AH43" s="598">
        <f>IF(AND(IMREAL(AE43)&lt;0,IMAGINARY(AE43)&gt;0),180/PI()*IMARGUMENT($AE43)-360,180/PI()*IMARGUMENT($AE43))</f>
        <v>-26.476978488879958</v>
      </c>
      <c r="AI43" s="595" t="str">
        <f>IMDIV($Z43,IMSUM(1,IMPRODUCT($Z43,$L43)))</f>
        <v>199127.179653372+98192.1681249818j</v>
      </c>
      <c r="AJ43" s="592">
        <f>IMABS($AI43)</f>
        <v>222021.02503544788</v>
      </c>
      <c r="AK43" s="601">
        <f>180/PI()*IMARGUMENT($AI43)</f>
        <v>26.24849794689954</v>
      </c>
      <c r="AL43" s="597">
        <f t="shared" si="34"/>
        <v>176678.7180236049</v>
      </c>
      <c r="AM43" s="602">
        <f t="shared" si="35"/>
        <v>444.04205007089575</v>
      </c>
      <c r="AN43" s="594" t="str">
        <f>IMPRODUCT($AI43,COMPLEX(0,$B43,"j"),$D$24)</f>
        <v>-246.783835217198+500.461187783272j</v>
      </c>
      <c r="AO43" s="603">
        <f>IMABS(AN43)</f>
        <v>557.9996969550723</v>
      </c>
      <c r="AP43" s="604">
        <f>180/PI()*IMARGUMENT($AN43)</f>
        <v>116.24849794689956</v>
      </c>
      <c r="AQ43" s="605">
        <f t="shared" si="36"/>
        <v>701.2030994637526</v>
      </c>
      <c r="AR43" s="605">
        <f t="shared" si="16"/>
        <v>8.697071371340266E-07</v>
      </c>
      <c r="AS43" s="780">
        <f t="shared" si="17"/>
        <v>0.3449437025302557</v>
      </c>
      <c r="AT43" s="143">
        <f t="shared" si="18"/>
        <v>1000</v>
      </c>
      <c r="AU43" s="120">
        <f t="shared" si="19"/>
        <v>500</v>
      </c>
      <c r="AV43" s="130">
        <f t="shared" si="20"/>
        <v>250000.00000000003</v>
      </c>
      <c r="AW43" s="691" t="str">
        <f>IF($D$10,IMDIV(COMPLEX(1,$B43/$D$49,"j"),COMPLEX(1,$B43/$D$50,"j")),COMPLEX(1,0,"j"))</f>
        <v>1</v>
      </c>
      <c r="AX43" s="606">
        <f>IMABS(AW43)</f>
        <v>1</v>
      </c>
      <c r="AY43" s="111"/>
    </row>
    <row r="44" spans="1:51" ht="15" customHeight="1" thickBot="1">
      <c r="A44" s="118">
        <v>0.3</v>
      </c>
      <c r="B44" s="130">
        <f t="shared" si="37"/>
        <v>1.8849555921538759</v>
      </c>
      <c r="C44" s="716" t="s">
        <v>809</v>
      </c>
      <c r="D44" s="799">
        <v>2537.050059213165</v>
      </c>
      <c r="E44" s="717" t="s">
        <v>11</v>
      </c>
      <c r="F44" s="278" t="s">
        <v>805</v>
      </c>
      <c r="G44" s="226"/>
      <c r="H44" s="139" t="str">
        <f>IMDIV(COMPLEX(0,$D$15*$D$23*$B44,"j"),COMPLEX(1,$B44*$D$16*$D$15*$D$23,"j"))</f>
        <v>4.49999999998987E-014+2.99999999999325E-008j</v>
      </c>
      <c r="I44" s="145">
        <f t="shared" si="15"/>
        <v>1E-05</v>
      </c>
      <c r="J44" s="150" t="str">
        <f>IMDIV(IF($D$12,$D$52/$D$19,$D$53)/$D$21,COMPLEX(1,$B44*IF($D$12,$D$52,$D$53*$D$19)*$D$17,"j"))</f>
        <v>1.76838825159952E-010-3.33333332395173E-006j</v>
      </c>
      <c r="K44" s="140" t="str">
        <f>IMSUM(IF($D$9,$H44,0),IF($D$7,$I44,0),IF($D$8,$J44,0))</f>
        <v>1.00001768838252E-005-3.3033333239518E-006j</v>
      </c>
      <c r="L44" s="139" t="str">
        <f>IMPRODUCT($D$22,$K44)</f>
        <v>4.00007075353008E-006-1.32133332958072E-006j</v>
      </c>
      <c r="M44" s="377">
        <f>IMABS($L44)</f>
        <v>4.2126580446444466E-06</v>
      </c>
      <c r="N44" s="141">
        <f t="shared" si="23"/>
        <v>237379.8180156826</v>
      </c>
      <c r="O44" s="498">
        <f t="shared" si="24"/>
        <v>125933.90475816812</v>
      </c>
      <c r="P44" s="141">
        <f t="shared" si="25"/>
        <v>474.75963603136523</v>
      </c>
      <c r="Q44" s="141">
        <f t="shared" si="26"/>
        <v>894.9008308662607</v>
      </c>
      <c r="R44" s="141">
        <f t="shared" si="27"/>
        <v>1686.8483255645078</v>
      </c>
      <c r="S44" s="119" t="str">
        <f>IMDIV(1/$D$37,COMPLEX(1-$B44*$B44*$D$40*$D$40,$B44*2*$D$26*$D$40,"j"))</f>
        <v>5.06624149385416E-003-6.07970866213683E-007j</v>
      </c>
      <c r="T44" s="111">
        <f>IMABS($S44)</f>
        <v>0.005066241530333725</v>
      </c>
      <c r="U44" s="111">
        <f t="shared" si="28"/>
        <v>1.013248306066745E-05</v>
      </c>
      <c r="V44" s="143">
        <f t="shared" si="29"/>
        <v>3.6001295787429655E-05</v>
      </c>
      <c r="W44" s="144">
        <f t="shared" si="30"/>
        <v>1.9099280607609527E-05</v>
      </c>
      <c r="X44" s="22" t="str">
        <f>IMPRODUCT(IMDIV($D$28,COMPLEX(1,$B44*$D$29,"j")),$AW44)</f>
        <v>5000000000</v>
      </c>
      <c r="Y44" s="106">
        <f>IMABS($X44)</f>
        <v>5000000000</v>
      </c>
      <c r="Z44" s="111" t="str">
        <f>IMPRODUCT($S44,$X44)</f>
        <v>25331207.4692708-3039.85433106842j</v>
      </c>
      <c r="AA44" s="197">
        <f>IMABS($Z44)</f>
        <v>25331207.651668623</v>
      </c>
      <c r="AB44" s="111">
        <f t="shared" si="31"/>
        <v>50662.41530333725</v>
      </c>
      <c r="AC44" s="111">
        <f t="shared" si="32"/>
        <v>180006.4789371483</v>
      </c>
      <c r="AD44" s="145">
        <f t="shared" si="33"/>
        <v>95496.40303804765</v>
      </c>
      <c r="AE44" s="119" t="str">
        <f>IMPRODUCT($L44,$Z44)</f>
        <v>101.322605488588-33.4831283400763j</v>
      </c>
      <c r="AF44" s="141">
        <f>IMABS($AE44)</f>
        <v>106.71171569436068</v>
      </c>
      <c r="AG44" s="111">
        <f t="shared" si="21"/>
        <v>105.71171569436068</v>
      </c>
      <c r="AH44" s="106">
        <f>IF(AND(IMREAL(AE44)&lt;0,IMAGINARY(AE44)&gt;0),180/PI()*IMARGUMENT($AE44)-360,180/PI()*IMARGUMENT($AE44))</f>
        <v>-18.28668509298426</v>
      </c>
      <c r="AI44" s="111" t="str">
        <f>IMDIV($Z44,IMSUM(1,IMPRODUCT($Z44,$L44)))</f>
        <v>223626.002811561+73147.6516088271j</v>
      </c>
      <c r="AJ44" s="141">
        <f>IMABS($AI44)</f>
        <v>235285.29080535957</v>
      </c>
      <c r="AK44" s="147">
        <f>180/PI()*IMARGUMENT($AI44)</f>
        <v>18.11282489263803</v>
      </c>
      <c r="AL44" s="144">
        <f t="shared" si="34"/>
        <v>124822.7235616235</v>
      </c>
      <c r="AM44" s="146">
        <f t="shared" si="35"/>
        <v>470.57058161071916</v>
      </c>
      <c r="AN44" s="119" t="str">
        <f>IMPRODUCT($AI44,COMPLEX(0,$B44,"j"),$D$24)</f>
        <v>-275.760149905965+843.050169101342j</v>
      </c>
      <c r="AO44" s="142">
        <f>IMABS(AN44)</f>
        <v>887.0046493102287</v>
      </c>
      <c r="AP44" s="132">
        <f>180/PI()*IMARGUMENT($AN44)</f>
        <v>108.11282489263806</v>
      </c>
      <c r="AQ44" s="133">
        <f t="shared" si="36"/>
        <v>1671.9643739837998</v>
      </c>
      <c r="AR44" s="133">
        <f t="shared" si="16"/>
        <v>9.220779589333217E-07</v>
      </c>
      <c r="AS44" s="779">
        <f t="shared" si="17"/>
        <v>0.32535209967175227</v>
      </c>
      <c r="AT44" s="143">
        <f t="shared" si="18"/>
        <v>1500</v>
      </c>
      <c r="AU44" s="120">
        <f t="shared" si="19"/>
        <v>500</v>
      </c>
      <c r="AV44" s="130">
        <f t="shared" si="20"/>
        <v>166666.66666666666</v>
      </c>
      <c r="AW44" s="582" t="str">
        <f>IF($D$10,IMDIV(COMPLEX(1,$B44/$D$49,"j"),COMPLEX(1,$B44/$D$50,"j")),COMPLEX(1,0,"j"))</f>
        <v>1</v>
      </c>
      <c r="AX44" s="149">
        <f>IMABS(AW44)</f>
        <v>1</v>
      </c>
      <c r="AY44" s="111"/>
    </row>
    <row r="45" spans="1:51" ht="15" customHeight="1" thickBot="1">
      <c r="A45" s="118">
        <v>0.4</v>
      </c>
      <c r="B45" s="130">
        <f t="shared" si="37"/>
        <v>2.5132741228718345</v>
      </c>
      <c r="C45" s="715" t="s">
        <v>808</v>
      </c>
      <c r="D45" s="399">
        <f>1/(D15*D20*2*PI())</f>
        <v>100</v>
      </c>
      <c r="E45" s="206" t="s">
        <v>11</v>
      </c>
      <c r="F45" s="28" t="s">
        <v>807</v>
      </c>
      <c r="G45" s="226"/>
      <c r="H45" s="139" t="str">
        <f>IMDIV(COMPLEX(0,$D$15*$D$23*$B45,"j"),COMPLEX(1,$B45*$D$16*$D$15*$D$23,"j"))</f>
        <v>7.999999999968E-014+3.999999999984E-008j</v>
      </c>
      <c r="I45" s="145">
        <f t="shared" si="15"/>
        <v>1E-05</v>
      </c>
      <c r="J45" s="150" t="str">
        <f>IMDIV(IF($D$12,$D$52/$D$19,$D$53)/$D$21,COMPLEX(1,$B45*IF($D$12,$D$52,$D$53*$D$19)*$D$17,"j"))</f>
        <v>9.94718392749567E-011-2.49999999604215E-006j</v>
      </c>
      <c r="K45" s="140" t="str">
        <f>IMSUM(IF($D$9,$H45,0),IF($D$7,$I45,0),IF($D$8,$J45,0))</f>
        <v>1.00000995518393E-005-2.45999999604231E-006j</v>
      </c>
      <c r="L45" s="139" t="str">
        <f>IMPRODUCT($D$22,$K45)</f>
        <v>4.00003982073572E-006-9.83999998416924E-007j</v>
      </c>
      <c r="M45" s="377">
        <f>IMABS($L45)</f>
        <v>4.1192929689882405E-06</v>
      </c>
      <c r="N45" s="141">
        <f t="shared" si="23"/>
        <v>242760.10653488792</v>
      </c>
      <c r="O45" s="498">
        <f t="shared" si="24"/>
        <v>96591.17735135634</v>
      </c>
      <c r="P45" s="141">
        <f t="shared" si="25"/>
        <v>485.5202130697759</v>
      </c>
      <c r="Q45" s="141">
        <f t="shared" si="26"/>
        <v>1220.2453876394873</v>
      </c>
      <c r="R45" s="141">
        <f t="shared" si="27"/>
        <v>3066.8111563080342</v>
      </c>
      <c r="S45" s="119" t="str">
        <f>IMDIV(1/$D$37,COMPLEX(1-$B45*$B45*$D$40*$D$40,$B45*2*$D$26*$D$40,"j"))</f>
        <v>5.06638330094043E-003-8.10673211235989E-007j</v>
      </c>
      <c r="T45" s="111">
        <f>IMABS($S45)</f>
        <v>0.005066383365798437</v>
      </c>
      <c r="U45" s="111">
        <f t="shared" si="28"/>
        <v>1.0132766731596876E-05</v>
      </c>
      <c r="V45" s="143">
        <f t="shared" si="29"/>
        <v>6.400409544280343E-05</v>
      </c>
      <c r="W45" s="144">
        <f t="shared" si="30"/>
        <v>2.5466420419619043E-05</v>
      </c>
      <c r="X45" s="22" t="str">
        <f>IMPRODUCT(IMDIV($D$28,COMPLEX(1,$B45*$D$29,"j")),$AW45)</f>
        <v>5000000000</v>
      </c>
      <c r="Y45" s="106">
        <f>IMABS($X45)</f>
        <v>5000000000</v>
      </c>
      <c r="Z45" s="111" t="str">
        <f>IMPRODUCT($S45,$X45)</f>
        <v>25331916.5047022-4053.36605617995j</v>
      </c>
      <c r="AA45" s="197">
        <f>IMABS($Z45)</f>
        <v>25331916.828992236</v>
      </c>
      <c r="AB45" s="111">
        <f t="shared" si="31"/>
        <v>50663.833657984476</v>
      </c>
      <c r="AC45" s="111">
        <f t="shared" si="32"/>
        <v>320020.47721401777</v>
      </c>
      <c r="AD45" s="145">
        <f t="shared" si="33"/>
        <v>127332.10209809546</v>
      </c>
      <c r="AE45" s="119" t="str">
        <f>IMPRODUCT($L45,$Z45)</f>
        <v>101.324686242168-24.9428194261574j</v>
      </c>
      <c r="AF45" s="141">
        <f>IMABS($AE45)</f>
        <v>104.34958688466229</v>
      </c>
      <c r="AG45" s="111">
        <f t="shared" si="21"/>
        <v>103.34958688466229</v>
      </c>
      <c r="AH45" s="106">
        <f>IF(AND(IMREAL(AE45)&lt;0,IMAGINARY(AE45)&gt;0),180/PI()*IMARGUMENT($AE45)-360,180/PI()*IMARGUMENT($AE45))</f>
        <v>-13.829375109134283</v>
      </c>
      <c r="AI45" s="111" t="str">
        <f>IMDIV($Z45,IMSUM(1,IMPRODUCT($Z45,$L45)))</f>
        <v>233688.065159003+56924.5414685918j</v>
      </c>
      <c r="AJ45" s="141">
        <f>IMABS($AI45)</f>
        <v>240521.3404651817</v>
      </c>
      <c r="AK45" s="147">
        <f>180/PI()*IMARGUMENT($AI45)</f>
        <v>13.690171265373744</v>
      </c>
      <c r="AL45" s="144">
        <f t="shared" si="34"/>
        <v>95700.40063530595</v>
      </c>
      <c r="AM45" s="146">
        <f t="shared" si="35"/>
        <v>481.0426809303634</v>
      </c>
      <c r="AN45" s="119" t="str">
        <f>IMPRODUCT($AI45,COMPLEX(0,$B45,"j"),$D$24)</f>
        <v>-286.133954058712+1174.64433397622j</v>
      </c>
      <c r="AO45" s="142">
        <f>IMABS(AN45)</f>
        <v>1208.9921219791759</v>
      </c>
      <c r="AP45" s="132">
        <f>180/PI()*IMARGUMENT($AN45)</f>
        <v>103.69017126537369</v>
      </c>
      <c r="AQ45" s="133">
        <f t="shared" si="36"/>
        <v>3038.5286149261688</v>
      </c>
      <c r="AR45" s="133">
        <f t="shared" si="16"/>
        <v>9.427790126206242E-07</v>
      </c>
      <c r="AS45" s="779">
        <f t="shared" si="17"/>
        <v>0.31820818663124023</v>
      </c>
      <c r="AT45" s="143">
        <f t="shared" si="18"/>
        <v>2000</v>
      </c>
      <c r="AU45" s="120">
        <f t="shared" si="19"/>
        <v>500</v>
      </c>
      <c r="AV45" s="130">
        <f t="shared" si="20"/>
        <v>125000.00000000001</v>
      </c>
      <c r="AW45" s="582" t="str">
        <f>IF($D$10,IMDIV(COMPLEX(1,$B45/$D$49,"j"),COMPLEX(1,$B45/$D$50,"j")),COMPLEX(1,0,"j"))</f>
        <v>1</v>
      </c>
      <c r="AX45" s="149">
        <f>IMABS(AW45)</f>
        <v>1</v>
      </c>
      <c r="AY45" s="111"/>
    </row>
    <row r="46" spans="1:51" ht="15" customHeight="1">
      <c r="A46" s="118">
        <v>0.5</v>
      </c>
      <c r="B46" s="130">
        <f t="shared" si="37"/>
        <v>3.141592653589793</v>
      </c>
      <c r="C46" s="221" t="s">
        <v>790</v>
      </c>
      <c r="D46" s="231">
        <f>$D$20/($D$23*$D$19*$D$21*$D$17)</f>
        <v>0.6283185307179585</v>
      </c>
      <c r="E46" s="137" t="s">
        <v>55</v>
      </c>
      <c r="F46" s="742" t="s">
        <v>806</v>
      </c>
      <c r="G46" s="743"/>
      <c r="H46" s="139" t="str">
        <f>IMDIV(COMPLEX(0,$D$15*$D$23*$B46,"j"),COMPLEX(1,$B46*$D$16*$D$15*$D$23,"j"))</f>
        <v>1.24999999999219E-013+4.99999999996875E-008j</v>
      </c>
      <c r="I46" s="145">
        <f t="shared" si="15"/>
        <v>1E-05</v>
      </c>
      <c r="J46" s="150" t="str">
        <f>IMDIV(IF($D$12,$D$52/$D$19,$D$53)/$D$21,COMPLEX(1,$B46*IF($D$12,$D$52,$D$53*$D$19)*$D$17,"j"))</f>
        <v>6.36619771722552E-011-1.99999999797358E-006j</v>
      </c>
      <c r="K46" s="140" t="str">
        <f>IMSUM(IF($D$9,$H46,0),IF($D$7,$I46,0),IF($D$8,$J46,0))</f>
        <v>1.00000637869772E-005-1.94999999797389E-006j</v>
      </c>
      <c r="L46" s="139" t="str">
        <f>IMPRODUCT($D$22,$K46)</f>
        <v>4.00002551479088E-006-7.79999999189556E-007j</v>
      </c>
      <c r="M46" s="377">
        <f>IMABS($L46)</f>
        <v>4.075365519522604E-06</v>
      </c>
      <c r="N46" s="141">
        <f t="shared" si="23"/>
        <v>245376.7631908369</v>
      </c>
      <c r="O46" s="498">
        <f t="shared" si="24"/>
        <v>78105.84956342225</v>
      </c>
      <c r="P46" s="141">
        <f t="shared" si="25"/>
        <v>490.75352638167385</v>
      </c>
      <c r="Q46" s="141">
        <f t="shared" si="26"/>
        <v>1541.7476732039513</v>
      </c>
      <c r="R46" s="141">
        <f t="shared" si="27"/>
        <v>4843.543163826691</v>
      </c>
      <c r="S46" s="119" t="str">
        <f>IMDIV(1/$D$37,COMPLEX(1-$B46*$B46*$D$40*$D$40,$B46*2*$D$26*$D$40,"j"))</f>
        <v>5.06656563599759E-003-1.01341446864638E-006j</v>
      </c>
      <c r="T46" s="111">
        <f>IMABS($S46)</f>
        <v>0.005066565737349172</v>
      </c>
      <c r="U46" s="111">
        <f t="shared" si="28"/>
        <v>1.0133131474698344E-05</v>
      </c>
      <c r="V46" s="143">
        <f t="shared" si="29"/>
        <v>0.00010000999899949987</v>
      </c>
      <c r="W46" s="144">
        <f t="shared" si="30"/>
        <v>3.1834171398771824E-05</v>
      </c>
      <c r="X46" s="22" t="str">
        <f>IMPRODUCT(IMDIV($D$28,COMPLEX(1,$B46*$D$29,"j")),$AW46)</f>
        <v>5000000000</v>
      </c>
      <c r="Y46" s="124">
        <f>IMABS($X46)</f>
        <v>5000000000</v>
      </c>
      <c r="Z46" s="111" t="str">
        <f>IMPRODUCT($S46,$X46)</f>
        <v>25332828.1799879-5067.0723432319j</v>
      </c>
      <c r="AA46" s="197">
        <f>IMABS($Z46)</f>
        <v>25332828.686745808</v>
      </c>
      <c r="AB46" s="111">
        <f t="shared" si="31"/>
        <v>50665.65737349162</v>
      </c>
      <c r="AC46" s="111">
        <f t="shared" si="32"/>
        <v>500049.9949974983</v>
      </c>
      <c r="AD46" s="145">
        <f t="shared" si="33"/>
        <v>159170.8569938588</v>
      </c>
      <c r="AE46" s="119" t="str">
        <f>IMPRODUCT($L46,$Z46)</f>
        <v>101.328006765341-19.7798743785179j</v>
      </c>
      <c r="AF46" s="141">
        <f>IMABS($AE46)</f>
        <v>103.24053654193658</v>
      </c>
      <c r="AG46" s="111">
        <f t="shared" si="21"/>
        <v>102.24053654193658</v>
      </c>
      <c r="AH46" s="106">
        <f>IF(AND(IMREAL(AE46)&lt;0,IMAGINARY(AE46)&gt;0),180/PI()*IMARGUMENT($AE46)-360,180/PI()*IMARGUMENT($AE46))</f>
        <v>-11.045600637801526</v>
      </c>
      <c r="AI46" s="111" t="str">
        <f>IMDIV($Z46,IMSUM(1,IMPRODUCT($Z46,$L46)))</f>
        <v>238657.239799895+46082.6248793863j</v>
      </c>
      <c r="AJ46" s="141">
        <f>IMABS($AI46)</f>
        <v>243065.601072383</v>
      </c>
      <c r="AK46" s="147">
        <f>180/PI()*IMARGUMENT($AI46)</f>
        <v>10.92881424455734</v>
      </c>
      <c r="AL46" s="144">
        <f t="shared" si="34"/>
        <v>77370.1838125449</v>
      </c>
      <c r="AM46" s="146">
        <f t="shared" si="35"/>
        <v>486.131202144766</v>
      </c>
      <c r="AN46" s="119" t="str">
        <f>IMPRODUCT($AI46,COMPLEX(0,$B46,"j"),$D$24)</f>
        <v>-289.545671558428+1499.52766256273j</v>
      </c>
      <c r="AO46" s="142">
        <f>IMABS(AN46)</f>
        <v>1527.226213338766</v>
      </c>
      <c r="AP46" s="132">
        <f>180/PI()*IMARGUMENT($AN46)</f>
        <v>100.92881424455736</v>
      </c>
      <c r="AQ46" s="133">
        <f t="shared" si="36"/>
        <v>4797.922652194842</v>
      </c>
      <c r="AR46" s="133">
        <f t="shared" si="16"/>
        <v>9.528438552792192E-07</v>
      </c>
      <c r="AS46" s="779">
        <f t="shared" si="17"/>
        <v>0.3148469692466964</v>
      </c>
      <c r="AT46" s="143">
        <f t="shared" si="18"/>
        <v>2500.0000000000005</v>
      </c>
      <c r="AU46" s="120">
        <f t="shared" si="19"/>
        <v>500</v>
      </c>
      <c r="AV46" s="130">
        <f t="shared" si="20"/>
        <v>100000.00000000001</v>
      </c>
      <c r="AW46" s="582" t="str">
        <f>IF($D$10,IMDIV(COMPLEX(1,$B46/$D$49,"j"),COMPLEX(1,$B46/$D$50,"j")),COMPLEX(1,0,"j"))</f>
        <v>1</v>
      </c>
      <c r="AX46" s="149">
        <f>IMABS(AW46)</f>
        <v>1</v>
      </c>
      <c r="AY46" s="111"/>
    </row>
    <row r="47" spans="1:51" ht="15" customHeight="1" thickBot="1">
      <c r="A47" s="118">
        <v>0.6</v>
      </c>
      <c r="B47" s="130">
        <f t="shared" si="37"/>
        <v>3.7699111843077517</v>
      </c>
      <c r="C47" s="222" t="s">
        <v>791</v>
      </c>
      <c r="D47" s="232">
        <f>$D$46/2/PI()</f>
        <v>0.09999999999999998</v>
      </c>
      <c r="E47" s="194" t="s">
        <v>11</v>
      </c>
      <c r="F47" s="744"/>
      <c r="G47" s="745"/>
      <c r="H47" s="139" t="str">
        <f>IMDIV(COMPLEX(0,$D$15*$D$23*$B47,"j"),COMPLEX(1,$B47*$D$16*$D$15*$D$23,"j"))</f>
        <v>1.7999999999838E-013+5.999999999946E-008j</v>
      </c>
      <c r="I47" s="145">
        <f t="shared" si="15"/>
        <v>1E-05</v>
      </c>
      <c r="J47" s="150" t="str">
        <f>IMDIV(IF($D$12,$D$52/$D$19,$D$53)/$D$21,COMPLEX(1,$B47*IF($D$12,$D$52,$D$53*$D$19)*$D$17,"j"))</f>
        <v>4.42097063833086E-011-1.66666666549397E-006j</v>
      </c>
      <c r="K47" s="140" t="str">
        <f>IMSUM(IF($D$9,$H47,0),IF($D$7,$I47,0),IF($D$8,$J47,0))</f>
        <v>1.00000443897064E-005-1.60666666549451E-006j</v>
      </c>
      <c r="L47" s="139" t="str">
        <f>IMPRODUCT($D$22,$K47)</f>
        <v>4.00001775588256E-006-6.42666666197804E-007j</v>
      </c>
      <c r="M47" s="377">
        <f>IMABS($L47)</f>
        <v>4.05131614308456E-06</v>
      </c>
      <c r="N47" s="141">
        <f t="shared" si="23"/>
        <v>246833.36591911284</v>
      </c>
      <c r="O47" s="498">
        <f t="shared" si="24"/>
        <v>65474.58384339564</v>
      </c>
      <c r="P47" s="141">
        <f t="shared" si="25"/>
        <v>493.6667318382257</v>
      </c>
      <c r="Q47" s="141">
        <f t="shared" si="26"/>
        <v>1861.0797336775827</v>
      </c>
      <c r="R47" s="141">
        <f t="shared" si="27"/>
        <v>7016.105302879611</v>
      </c>
      <c r="S47" s="119" t="str">
        <f>IMDIV(1/$D$37,COMPLEX(1-$B47*$B47*$D$40*$D$40,$B47*2*$D$26*$D$40,"j"))</f>
        <v>5.06678850777296E-003-1.21620437529555E-006j</v>
      </c>
      <c r="T47" s="111">
        <f>IMABS($S47)</f>
        <v>0.005066788653738502</v>
      </c>
      <c r="U47" s="111">
        <f t="shared" si="28"/>
        <v>1.0133577307477003E-05</v>
      </c>
      <c r="V47" s="143">
        <f t="shared" si="29"/>
        <v>0.00014402073483742216</v>
      </c>
      <c r="W47" s="144">
        <f t="shared" si="30"/>
        <v>3.820268642850479E-05</v>
      </c>
      <c r="X47" s="22" t="str">
        <f>IMPRODUCT(IMDIV($D$28,COMPLEX(1,$B47*$D$29,"j")),$AW47)</f>
        <v>5000000000</v>
      </c>
      <c r="Y47" s="124">
        <f>IMABS($X47)</f>
        <v>5000000000</v>
      </c>
      <c r="Z47" s="111" t="str">
        <f>IMPRODUCT($S47,$X47)</f>
        <v>25333942.5388648-6081.02187647775j</v>
      </c>
      <c r="AA47" s="197">
        <f>IMABS($Z47)</f>
        <v>25333943.26869251</v>
      </c>
      <c r="AB47" s="111">
        <f t="shared" si="31"/>
        <v>50667.88653738502</v>
      </c>
      <c r="AC47" s="111">
        <f t="shared" si="32"/>
        <v>720103.6741871109</v>
      </c>
      <c r="AD47" s="145">
        <f t="shared" si="33"/>
        <v>191013.43214252396</v>
      </c>
      <c r="AE47" s="119" t="str">
        <f>IMPRODUCT($L47,$Z47)</f>
        <v>101.332311911911-16.3056045885788j</v>
      </c>
      <c r="AF47" s="141">
        <f>IMABS($AE47)</f>
        <v>102.63581333244211</v>
      </c>
      <c r="AG47" s="111">
        <f t="shared" si="21"/>
        <v>101.63581333244211</v>
      </c>
      <c r="AH47" s="106">
        <f>IF(AND(IMREAL(AE47)&lt;0,IMAGINARY(AE47)&gt;0),180/PI()*IMARGUMENT($AE47)-360,180/PI()*IMARGUMENT($AE47))</f>
        <v>-9.141229915025844</v>
      </c>
      <c r="AI47" s="111" t="str">
        <f>IMDIV($Z47,IMSUM(1,IMPRODUCT($Z47,$L47)))</f>
        <v>241444.816298806+38412.3314446136j</v>
      </c>
      <c r="AJ47" s="141">
        <f>IMABS($AI47)</f>
        <v>244481.30097120928</v>
      </c>
      <c r="AK47" s="147">
        <f>180/PI()*IMARGUMENT($AI47)</f>
        <v>9.039634660615388</v>
      </c>
      <c r="AL47" s="144">
        <f t="shared" si="34"/>
        <v>64850.679238508914</v>
      </c>
      <c r="AM47" s="146">
        <f t="shared" si="35"/>
        <v>488.9626019424186</v>
      </c>
      <c r="AN47" s="119" t="str">
        <f>IMPRODUCT($AI47,COMPLEX(0,$B47,"j"),$D$24)</f>
        <v>-289.62215585677+1820.451026716j</v>
      </c>
      <c r="AO47" s="142">
        <f>IMABS(AN47)</f>
        <v>1843.3455817709444</v>
      </c>
      <c r="AP47" s="132">
        <f>180/PI()*IMARGUMENT($AN47)</f>
        <v>99.03963466061538</v>
      </c>
      <c r="AQ47" s="133">
        <f t="shared" si="36"/>
        <v>6949.249125262558</v>
      </c>
      <c r="AR47" s="133">
        <f t="shared" si="16"/>
        <v>9.584459423236424E-07</v>
      </c>
      <c r="AS47" s="779">
        <f t="shared" si="17"/>
        <v>0.31300669839833045</v>
      </c>
      <c r="AT47" s="143">
        <f t="shared" si="18"/>
        <v>3000</v>
      </c>
      <c r="AU47" s="120">
        <f t="shared" si="19"/>
        <v>500</v>
      </c>
      <c r="AV47" s="130">
        <f t="shared" si="20"/>
        <v>83333.33333333333</v>
      </c>
      <c r="AW47" s="582" t="str">
        <f>IF($D$10,IMDIV(COMPLEX(1,$B47/$D$49,"j"),COMPLEX(1,$B47/$D$50,"j")),COMPLEX(1,0,"j"))</f>
        <v>1</v>
      </c>
      <c r="AX47" s="149">
        <f>IMABS(AW47)</f>
        <v>1</v>
      </c>
      <c r="AY47" s="111"/>
    </row>
    <row r="48" spans="1:51" ht="15" customHeight="1" thickBot="1">
      <c r="A48" s="118">
        <v>0.7</v>
      </c>
      <c r="B48" s="130">
        <f t="shared" si="37"/>
        <v>4.39822971502571</v>
      </c>
      <c r="C48" s="795" t="s">
        <v>792</v>
      </c>
      <c r="D48" s="535">
        <f>1/$D$47</f>
        <v>10.000000000000002</v>
      </c>
      <c r="E48" s="796" t="s">
        <v>344</v>
      </c>
      <c r="F48" s="797"/>
      <c r="G48" s="798"/>
      <c r="H48" s="139" t="str">
        <f>IMDIV(COMPLEX(0,$D$15*$D$23*$B48,"j"),COMPLEX(1,$B48*$D$16*$D$15*$D$23,"j"))</f>
        <v>2.44999999996999E-013+6.99999999991425E-008j</v>
      </c>
      <c r="I48" s="145">
        <f t="shared" si="15"/>
        <v>1E-05</v>
      </c>
      <c r="J48" s="150" t="str">
        <f>IMDIV(IF($D$12,$D$52/$D$19,$D$53)/$D$21,COMPLEX(1,$B48*IF($D$12,$D$52,$D$53*$D$19)*$D$17,"j"))</f>
        <v>3.24806006142084E-011-1.42857142783294E-006j</v>
      </c>
      <c r="K48" s="140" t="str">
        <f>IMSUM(IF($D$9,$H48,0),IF($D$7,$I48,0),IF($D$8,$J48,0))</f>
        <v>1.00000327256006E-005-1.3585714278338E-006j</v>
      </c>
      <c r="L48" s="139" t="str">
        <f>IMPRODUCT($D$22,$K48)</f>
        <v>4.00001309024024E-006-5.4342857113352E-007j</v>
      </c>
      <c r="M48" s="377">
        <f>IMABS($L48)</f>
        <v>4.0367585181699315E-06</v>
      </c>
      <c r="N48" s="141">
        <f t="shared" si="23"/>
        <v>247723.51268942165</v>
      </c>
      <c r="O48" s="498">
        <f t="shared" si="24"/>
        <v>56323.45937801331</v>
      </c>
      <c r="P48" s="141">
        <f t="shared" si="25"/>
        <v>495.4470253788433</v>
      </c>
      <c r="Q48" s="141">
        <f t="shared" si="26"/>
        <v>2179.089829242326</v>
      </c>
      <c r="R48" s="141">
        <f t="shared" si="27"/>
        <v>9584.137638683898</v>
      </c>
      <c r="S48" s="119" t="str">
        <f>IMDIV(1/$D$37,COMPLEX(1-$B48*$B48*$D$40*$D$40,$B48*2*$D$26*$D$40,"j"))</f>
        <v>5.06705192695982E-003-1.41905267387283E-006j</v>
      </c>
      <c r="T48" s="111">
        <f>IMABS($S48)</f>
        <v>0.005067052125666138</v>
      </c>
      <c r="U48" s="111">
        <f t="shared" si="28"/>
        <v>1.0134104251332276E-05</v>
      </c>
      <c r="V48" s="143">
        <f t="shared" si="29"/>
        <v>0.00019603841584329293</v>
      </c>
      <c r="W48" s="144">
        <f t="shared" si="30"/>
        <v>4.4572118453378E-05</v>
      </c>
      <c r="X48" s="22" t="str">
        <f>IMPRODUCT(IMDIV($D$28,COMPLEX(1,$B48*$D$29,"j")),$AW48)</f>
        <v>5000000000</v>
      </c>
      <c r="Y48" s="124">
        <f>IMABS($X48)</f>
        <v>5000000000</v>
      </c>
      <c r="Z48" s="111" t="str">
        <f>IMPRODUCT($S48,$X48)</f>
        <v>25335259.6347991-7095.26336936415j</v>
      </c>
      <c r="AA48" s="197">
        <f>IMABS($Z48)</f>
        <v>25335260.62833069</v>
      </c>
      <c r="AB48" s="111">
        <f t="shared" si="31"/>
        <v>50670.52125666138</v>
      </c>
      <c r="AC48" s="111">
        <f t="shared" si="32"/>
        <v>980192.0792164644</v>
      </c>
      <c r="AD48" s="145">
        <f t="shared" si="33"/>
        <v>222860.59226688996</v>
      </c>
      <c r="AE48" s="119" t="str">
        <f>IMPRODUCT($L48,$Z48)</f>
        <v>101.337514414997-13.7962850889918j</v>
      </c>
      <c r="AF48" s="141">
        <f>IMABS($AE48)</f>
        <v>102.27232915146922</v>
      </c>
      <c r="AG48" s="111">
        <f t="shared" si="21"/>
        <v>101.27232915146922</v>
      </c>
      <c r="AH48" s="106">
        <f>IF(AND(IMREAL(AE48)&lt;0,IMAGINARY(AE48)&gt;0),180/PI()*IMARGUMENT($AE48)-360,180/PI()*IMARGUMENT($AE48))</f>
        <v>-7.752694871034046</v>
      </c>
      <c r="AI48" s="111" t="str">
        <f>IMDIV($Z48,IMSUM(1,IMPRODUCT($Z48,$L48)))</f>
        <v>243155.902143979+32710.9066779268j</v>
      </c>
      <c r="AJ48" s="141">
        <f>IMABS($AI48)</f>
        <v>245346.27807069814</v>
      </c>
      <c r="AK48" s="147">
        <f>180/PI()*IMARGUMENT($AI48)</f>
        <v>7.661800793227188</v>
      </c>
      <c r="AL48" s="144">
        <f t="shared" si="34"/>
        <v>55782.9613202147</v>
      </c>
      <c r="AM48" s="146">
        <f t="shared" si="35"/>
        <v>490.6925561413963</v>
      </c>
      <c r="AN48" s="119" t="str">
        <f>IMPRODUCT($AI48,COMPLEX(0,$B48,"j"),$D$24)</f>
        <v>-287.740163512581+2138.91102838706j</v>
      </c>
      <c r="AO48" s="142">
        <f>IMABS(AN48)</f>
        <v>2158.1785813630063</v>
      </c>
      <c r="AP48" s="132">
        <f>180/PI()*IMARGUMENT($AN48)</f>
        <v>97.6618007932272</v>
      </c>
      <c r="AQ48" s="133">
        <f t="shared" si="36"/>
        <v>9492.165166882827</v>
      </c>
      <c r="AR48" s="133">
        <f t="shared" si="16"/>
        <v>9.618693670195563E-07</v>
      </c>
      <c r="AS48" s="779">
        <f t="shared" si="17"/>
        <v>0.31189266472803734</v>
      </c>
      <c r="AT48" s="143">
        <f t="shared" si="18"/>
        <v>3500</v>
      </c>
      <c r="AU48" s="120">
        <f t="shared" si="19"/>
        <v>500</v>
      </c>
      <c r="AV48" s="130">
        <f t="shared" si="20"/>
        <v>71428.57142857142</v>
      </c>
      <c r="AW48" s="582" t="str">
        <f>IF($D$10,IMDIV(COMPLEX(1,$B48/$D$49,"j"),COMPLEX(1,$B48/$D$50,"j")),COMPLEX(1,0,"j"))</f>
        <v>1</v>
      </c>
      <c r="AX48" s="149">
        <f>IMABS(AW48)</f>
        <v>1</v>
      </c>
      <c r="AY48" s="111"/>
    </row>
    <row r="49" spans="1:51" ht="15" customHeight="1">
      <c r="A49" s="118">
        <v>0.8</v>
      </c>
      <c r="B49" s="130">
        <f t="shared" si="37"/>
        <v>5.026548245743669</v>
      </c>
      <c r="C49" s="788" t="s">
        <v>793</v>
      </c>
      <c r="D49" s="789">
        <f>2*PI()*$D$31</f>
        <v>62.83185307179586</v>
      </c>
      <c r="E49" s="137" t="s">
        <v>55</v>
      </c>
      <c r="F49" s="790" t="s">
        <v>795</v>
      </c>
      <c r="G49" s="208"/>
      <c r="H49" s="139" t="str">
        <f>IMDIV(COMPLEX(0,$D$15*$D$23*$B49,"j"),COMPLEX(1,$B49*$D$16*$D$15*$D$23,"j"))</f>
        <v>3.1999999999488E-013+7.999999999872E-008j</v>
      </c>
      <c r="I49" s="145">
        <f t="shared" si="15"/>
        <v>1E-05</v>
      </c>
      <c r="J49" s="150" t="str">
        <f>IMDIV(IF($D$12,$D$52/$D$19,$D$53)/$D$21,COMPLEX(1,$B49*IF($D$12,$D$52,$D$53*$D$19)*$D$17,"j"))</f>
        <v>2.48679598482662E-011-1.24999999950527E-006j</v>
      </c>
      <c r="K49" s="140" t="str">
        <f>IMSUM(IF($D$9,$H49,0),IF($D$7,$I49,0),IF($D$8,$J49,0))</f>
        <v>1.00000251879598E-005-1.16999999950655E-006j</v>
      </c>
      <c r="L49" s="139" t="str">
        <f>IMPRODUCT($D$22,$K49)</f>
        <v>4.00001007518392E-006-4.6799999980262E-007j</v>
      </c>
      <c r="M49" s="377">
        <f>IMABS($L49)</f>
        <v>4.027294948397512E-06</v>
      </c>
      <c r="N49" s="141">
        <f t="shared" si="23"/>
        <v>248305.62767643994</v>
      </c>
      <c r="O49" s="498">
        <f t="shared" si="24"/>
        <v>49398.83505280144</v>
      </c>
      <c r="P49" s="141">
        <f t="shared" si="25"/>
        <v>496.6112553528799</v>
      </c>
      <c r="Q49" s="141">
        <f t="shared" si="26"/>
        <v>2496.2404344105794</v>
      </c>
      <c r="R49" s="141">
        <f t="shared" si="27"/>
        <v>12547.472976540912</v>
      </c>
      <c r="S49" s="119" t="str">
        <f>IMDIV(1/$D$37,COMPLEX(1-$B49*$B49*$D$40*$D$40,$B49*2*$D$26*$D$40,"j"))</f>
        <v>5.06735590619876E-003-1.62196911407681E-006j</v>
      </c>
      <c r="T49" s="111">
        <f>IMABS($S49)</f>
        <v>0.005067356165780265</v>
      </c>
      <c r="U49" s="111">
        <f t="shared" si="28"/>
        <v>1.013471233156053E-05</v>
      </c>
      <c r="V49" s="143">
        <f t="shared" si="29"/>
        <v>0.00025606553966424166</v>
      </c>
      <c r="W49" s="144">
        <f t="shared" si="30"/>
        <v>5.094262049132231E-05</v>
      </c>
      <c r="X49" s="22" t="str">
        <f>IMPRODUCT(IMDIV($D$28,COMPLEX(1,$B49*$D$29,"j")),$AW49)</f>
        <v>5000000000</v>
      </c>
      <c r="Y49" s="124">
        <f>IMABS($X49)</f>
        <v>5000000000</v>
      </c>
      <c r="Z49" s="111" t="str">
        <f>IMPRODUCT($S49,$X49)</f>
        <v>25336779.5309938-8109.84557038405j</v>
      </c>
      <c r="AA49" s="197">
        <f>IMABS($Z49)</f>
        <v>25336780.828901324</v>
      </c>
      <c r="AB49" s="111">
        <f t="shared" si="31"/>
        <v>50673.56165780265</v>
      </c>
      <c r="AC49" s="111">
        <f t="shared" si="32"/>
        <v>1280327.6983212084</v>
      </c>
      <c r="AD49" s="145">
        <f t="shared" si="33"/>
        <v>254713.10245661158</v>
      </c>
      <c r="AE49" s="119" t="str">
        <f>IMPRODUCT($L49,$Z49)</f>
        <v>101.343577988964-11.8900522794938j</v>
      </c>
      <c r="AF49" s="141">
        <f>IMABS($AE49)</f>
        <v>102.03868944088964</v>
      </c>
      <c r="AG49" s="111">
        <f t="shared" si="21"/>
        <v>101.03868944088964</v>
      </c>
      <c r="AH49" s="106">
        <f>IF(AND(IMREAL(AE49)&lt;0,IMAGINARY(AE49)&gt;0),180/PI()*IMARGUMENT($AE49)-360,180/PI()*IMARGUMENT($AE49))</f>
        <v>-6.691589137223497</v>
      </c>
      <c r="AI49" s="111" t="str">
        <f>IMDIV($Z49,IMSUM(1,IMPRODUCT($Z49,$L49)))</f>
        <v>244278.012236813+28300.4419775951j</v>
      </c>
      <c r="AJ49" s="141">
        <f>IMABS($AI49)</f>
        <v>245911.89942435845</v>
      </c>
      <c r="AK49" s="147">
        <f>180/PI()*IMARGUMENT($AI49)</f>
        <v>6.608450581203154</v>
      </c>
      <c r="AL49" s="144">
        <f t="shared" si="34"/>
        <v>48922.61794812958</v>
      </c>
      <c r="AM49" s="146">
        <f t="shared" si="35"/>
        <v>491.8237988487169</v>
      </c>
      <c r="AN49" s="119" t="str">
        <f>IMPRODUCT($AI49,COMPLEX(0,$B49,"j"),$D$24)</f>
        <v>-284.507073952502+2455.75042776541j</v>
      </c>
      <c r="AO49" s="142">
        <f>IMABS(AN49)</f>
        <v>2472.1760533180095</v>
      </c>
      <c r="AP49" s="132">
        <f>180/PI()*IMARGUMENT($AN49)</f>
        <v>96.60845058120314</v>
      </c>
      <c r="AQ49" s="133">
        <f t="shared" si="36"/>
        <v>12426.512203975124</v>
      </c>
      <c r="AR49" s="133">
        <f t="shared" si="16"/>
        <v>9.64108247232173E-07</v>
      </c>
      <c r="AS49" s="779">
        <f t="shared" si="17"/>
        <v>0.3111683785106706</v>
      </c>
      <c r="AT49" s="143">
        <f t="shared" si="18"/>
        <v>4000</v>
      </c>
      <c r="AU49" s="120">
        <f t="shared" si="19"/>
        <v>500</v>
      </c>
      <c r="AV49" s="130">
        <f t="shared" si="20"/>
        <v>62500.00000000001</v>
      </c>
      <c r="AW49" s="582" t="str">
        <f>IF($D$10,IMDIV(COMPLEX(1,$B49/$D$49,"j"),COMPLEX(1,$B49/$D$50,"j")),COMPLEX(1,0,"j"))</f>
        <v>1</v>
      </c>
      <c r="AX49" s="149">
        <f>IMABS(AW49)</f>
        <v>1</v>
      </c>
      <c r="AY49" s="111"/>
    </row>
    <row r="50" spans="1:51" ht="15" customHeight="1">
      <c r="A50" s="118">
        <v>0.9</v>
      </c>
      <c r="B50" s="130">
        <f t="shared" si="37"/>
        <v>5.654866776461628</v>
      </c>
      <c r="C50" s="788" t="s">
        <v>794</v>
      </c>
      <c r="D50" s="794">
        <f>2*PI()*$D$32</f>
        <v>6283.185307179586</v>
      </c>
      <c r="E50" s="137" t="s">
        <v>55</v>
      </c>
      <c r="F50" s="790" t="s">
        <v>796</v>
      </c>
      <c r="G50" s="208"/>
      <c r="H50" s="139" t="str">
        <f>IMDIV(COMPLEX(0,$D$15*$D$23*$B50,"j"),COMPLEX(1,$B50*$D$16*$D$15*$D$23,"j"))</f>
        <v>4.04999999991799E-013+8.99999999981775E-008j</v>
      </c>
      <c r="I50" s="145">
        <f t="shared" si="15"/>
        <v>1E-05</v>
      </c>
      <c r="J50" s="150" t="str">
        <f>IMDIV(IF($D$12,$D$52/$D$19,$D$53)/$D$21,COMPLEX(1,$B50*IF($D$12,$D$52,$D$53*$D$19)*$D$17,"j"))</f>
        <v>1.96487584002623E-011-1.11111111076364E-006j</v>
      </c>
      <c r="K50" s="140" t="str">
        <f>IMSUM(IF($D$9,$H50,0),IF($D$7,$I50,0),IF($D$8,$J50,0))</f>
        <v>1.00000200537584E-005-1.02111111076546E-006j</v>
      </c>
      <c r="L50" s="139" t="str">
        <f>IMPRODUCT($D$22,$K50)</f>
        <v>4.00000802150336E-006-4.08444444306184E-007j</v>
      </c>
      <c r="M50" s="377">
        <f>IMABS($L50)</f>
        <v>4.020807261754263E-06</v>
      </c>
      <c r="N50" s="141">
        <f t="shared" si="23"/>
        <v>248706.2758545914</v>
      </c>
      <c r="O50" s="498">
        <f t="shared" si="24"/>
        <v>43980.92575581635</v>
      </c>
      <c r="P50" s="141">
        <f t="shared" si="25"/>
        <v>497.4125517091828</v>
      </c>
      <c r="Q50" s="141">
        <f t="shared" si="26"/>
        <v>2812.801712855259</v>
      </c>
      <c r="R50" s="141">
        <f t="shared" si="27"/>
        <v>15906.018954799565</v>
      </c>
      <c r="S50" s="119" t="str">
        <f>IMDIV(1/$D$37,COMPLEX(1-$B50*$B50*$D$40*$D$40,$B50*2*$D$26*$D$40,"j"))</f>
        <v>5.06770046007911E-003-1.82496345378751E-006j</v>
      </c>
      <c r="T50" s="111">
        <f>IMABS($S50)</f>
        <v>0.005067700788678987</v>
      </c>
      <c r="U50" s="111">
        <f t="shared" si="28"/>
        <v>1.0135401577357974E-05</v>
      </c>
      <c r="V50" s="143">
        <f t="shared" si="29"/>
        <v>0.0003241049890076289</v>
      </c>
      <c r="W50" s="144">
        <f t="shared" si="30"/>
        <v>5.7314345645898385E-05</v>
      </c>
      <c r="X50" s="22" t="str">
        <f>IMPRODUCT(IMDIV($D$28,COMPLEX(1,$B50*$D$29,"j")),$AW50)</f>
        <v>5000000000</v>
      </c>
      <c r="Y50" s="124">
        <f>IMABS($X50)</f>
        <v>5000000000</v>
      </c>
      <c r="Z50" s="111" t="str">
        <f>IMPRODUCT($S50,$X50)</f>
        <v>25338502.3003955-9124.81726893755j</v>
      </c>
      <c r="AA50" s="197">
        <f>IMABS($Z50)</f>
        <v>25338503.943394884</v>
      </c>
      <c r="AB50" s="111">
        <f t="shared" si="31"/>
        <v>50677.00788678977</v>
      </c>
      <c r="AC50" s="111">
        <f t="shared" si="32"/>
        <v>1620524.9450381412</v>
      </c>
      <c r="AD50" s="145">
        <f t="shared" si="33"/>
        <v>286571.72822949133</v>
      </c>
      <c r="AE50" s="119" t="str">
        <f>IMPRODUCT($L50,$Z50)</f>
        <v>101.350485473545-10.3858698339065j</v>
      </c>
      <c r="AF50" s="141">
        <f>IMABS($AE50)</f>
        <v>101.88124065759166</v>
      </c>
      <c r="AG50" s="111">
        <f t="shared" si="21"/>
        <v>100.88124065759166</v>
      </c>
      <c r="AH50" s="106">
        <f>IF(AND(IMREAL(AE50)&lt;0,IMAGINARY(AE50)&gt;0),180/PI()*IMARGUMENT($AE50)-360,180/PI()*IMARGUMENT($AE50))</f>
        <v>-5.850949642740598</v>
      </c>
      <c r="AI50" s="111" t="str">
        <f>IMDIV($Z50,IMSUM(1,IMPRODUCT($Z50,$L50)))</f>
        <v>245051.795721672+24777.129526336j</v>
      </c>
      <c r="AJ50" s="141">
        <f>IMABS($AI50)</f>
        <v>246301.21545372225</v>
      </c>
      <c r="AK50" s="147">
        <f>180/PI()*IMARGUMENT($AI50)</f>
        <v>5.773541504451408</v>
      </c>
      <c r="AL50" s="144">
        <f t="shared" si="34"/>
        <v>43555.61769889091</v>
      </c>
      <c r="AM50" s="146">
        <f t="shared" si="35"/>
        <v>492.6024309074445</v>
      </c>
      <c r="AN50" s="119" t="str">
        <f>IMPRODUCT($AI50,COMPLEX(0,$B50,"j"),$D$24)</f>
        <v>-280.222733149128+2771.47051627749j</v>
      </c>
      <c r="AO50" s="142">
        <f>IMABS(AN50)</f>
        <v>2785.601120542743</v>
      </c>
      <c r="AP50" s="132">
        <f>180/PI()*IMARGUMENT($AN50)</f>
        <v>95.7735415044514</v>
      </c>
      <c r="AQ50" s="133">
        <f t="shared" si="36"/>
        <v>15752.203229031435</v>
      </c>
      <c r="AR50" s="133">
        <f t="shared" si="16"/>
        <v>9.656493800644303E-07</v>
      </c>
      <c r="AS50" s="779">
        <f t="shared" si="17"/>
        <v>0.31067176782113537</v>
      </c>
      <c r="AT50" s="143">
        <f t="shared" si="18"/>
        <v>4500</v>
      </c>
      <c r="AU50" s="120">
        <f t="shared" si="19"/>
        <v>500</v>
      </c>
      <c r="AV50" s="130">
        <f t="shared" si="20"/>
        <v>55555.55555555556</v>
      </c>
      <c r="AW50" s="582" t="str">
        <f>IF($D$10,IMDIV(COMPLEX(1,$B50/$D$49,"j"),COMPLEX(1,$B50/$D$50,"j")),COMPLEX(1,0,"j"))</f>
        <v>1</v>
      </c>
      <c r="AX50" s="149">
        <f>IMABS(AW50)</f>
        <v>1</v>
      </c>
      <c r="AY50" s="111"/>
    </row>
    <row r="51" spans="1:51" ht="15" customHeight="1" thickBot="1">
      <c r="A51" s="118">
        <v>1</v>
      </c>
      <c r="B51" s="130">
        <f t="shared" si="37"/>
        <v>6.283185307179586</v>
      </c>
      <c r="C51" s="791" t="s">
        <v>56</v>
      </c>
      <c r="D51" s="792">
        <f>$D$49/IF($D$10,$D$50,$D$49)</f>
        <v>1</v>
      </c>
      <c r="E51" s="793"/>
      <c r="F51" s="626" t="s">
        <v>814</v>
      </c>
      <c r="G51" s="242"/>
      <c r="H51" s="139" t="str">
        <f>IMDIV(COMPLEX(0,$D$15*$D$23*$B51,"j"),COMPLEX(1,$B51*$D$16*$D$15*$D$23,"j"))</f>
        <v>4.999999999875E-013+9.99999999975E-008j</v>
      </c>
      <c r="I51" s="145">
        <f t="shared" si="15"/>
        <v>1E-05</v>
      </c>
      <c r="J51" s="150" t="str">
        <f>IMDIV(IF($D$12,$D$52/$D$19,$D$53)/$D$21,COMPLEX(1,$B51*IF($D$12,$D$52,$D$53*$D$19)*$D$17,"j"))</f>
        <v>1.59154943051581E-011-9.99999999746696E-007j</v>
      </c>
      <c r="K51" s="140" t="str">
        <f>IMSUM(IF($D$9,$H51,0),IF($D$7,$I51,0),IF($D$8,$J51,0))</f>
        <v>1.00000164154943E-005-8.99999999749196E-007j</v>
      </c>
      <c r="L51" s="139" t="str">
        <f>IMPRODUCT($D$22,$K51)</f>
        <v>4.00000656619772E-006-3.59999999899678E-007j</v>
      </c>
      <c r="M51" s="377">
        <f>IMABS($L51)</f>
        <v>4.016173866947575E-06</v>
      </c>
      <c r="N51" s="141">
        <f t="shared" si="23"/>
        <v>248993.2042608586</v>
      </c>
      <c r="O51" s="498">
        <f t="shared" si="24"/>
        <v>39628.49925440562</v>
      </c>
      <c r="P51" s="141">
        <f t="shared" si="25"/>
        <v>497.9864085217172</v>
      </c>
      <c r="Q51" s="141">
        <f t="shared" si="26"/>
        <v>3128.9408851987846</v>
      </c>
      <c r="R51" s="141">
        <f t="shared" si="27"/>
        <v>19659.715396914493</v>
      </c>
      <c r="S51" s="119" t="str">
        <f>IMDIV(1/$D$37,COMPLEX(1-$B51*$B51*$D$40*$D$40,$B51*2*$D$26*$D$40,"j"))</f>
        <v>5.06808560514076E-003-2.0280454602404E-006j</v>
      </c>
      <c r="T51" s="111">
        <f>IMABS($S51)</f>
        <v>0.005068086010912145</v>
      </c>
      <c r="U51" s="111">
        <f t="shared" si="28"/>
        <v>1.013617202182429E-05</v>
      </c>
      <c r="V51" s="143">
        <f t="shared" si="29"/>
        <v>0.0004001600319871833</v>
      </c>
      <c r="W51" s="144">
        <f t="shared" si="30"/>
        <v>6.368744711857117E-05</v>
      </c>
      <c r="X51" s="22" t="str">
        <f>IMPRODUCT(IMDIV($D$28,COMPLEX(1,$B51*$D$29,"j")),$AW51)</f>
        <v>5000000000</v>
      </c>
      <c r="Y51" s="124">
        <f>IMABS($X51)</f>
        <v>5000000000</v>
      </c>
      <c r="Z51" s="111" t="str">
        <f>IMPRODUCT($S51,$X51)</f>
        <v>25340428.0257038-10140.227301202j</v>
      </c>
      <c r="AA51" s="197">
        <f>IMABS($Z51)</f>
        <v>25340430.05456072</v>
      </c>
      <c r="AB51" s="111">
        <f t="shared" si="31"/>
        <v>50680.860109121444</v>
      </c>
      <c r="AC51" s="111">
        <f t="shared" si="32"/>
        <v>2000800.159935916</v>
      </c>
      <c r="AD51" s="145">
        <f t="shared" si="33"/>
        <v>318437.23559285584</v>
      </c>
      <c r="AE51" s="119" t="str">
        <f>IMPRODUCT($L51,$Z51)</f>
        <v>101.358228011248-9.16311506249871j</v>
      </c>
      <c r="AF51" s="141">
        <f>IMABS($AE51)</f>
        <v>101.77157296233919</v>
      </c>
      <c r="AG51" s="111">
        <f t="shared" si="21"/>
        <v>100.77157296233919</v>
      </c>
      <c r="AH51" s="106">
        <f>IF(AND(IMREAL(AE51)&lt;0,IMAGINARY(AE51)&gt;0),180/PI()*IMARGUMENT($AE51)-360,180/PI()*IMARGUMENT($AE51))</f>
        <v>-5.165683641214521</v>
      </c>
      <c r="AI51" s="111" t="str">
        <f>IMDIV($Z51,IMSUM(1,IMPRODUCT($Z51,$L51)))</f>
        <v>245606.721973253+21887.6632567013j</v>
      </c>
      <c r="AJ51" s="141">
        <f>IMABS($AI51)</f>
        <v>246580.07154124512</v>
      </c>
      <c r="AK51" s="147">
        <f>180/PI()*IMARGUMENT($AI51)</f>
        <v>5.092558515631797</v>
      </c>
      <c r="AL51" s="144">
        <f t="shared" si="34"/>
        <v>39244.43725374235</v>
      </c>
      <c r="AM51" s="146">
        <f t="shared" si="35"/>
        <v>493.16014308249026</v>
      </c>
      <c r="AN51" s="119" t="str">
        <f>IMPRODUCT($AI51,COMPLEX(0,$B51,"j"),$D$24)</f>
        <v>-275.048488366+3086.38509369377j</v>
      </c>
      <c r="AO51" s="142">
        <f>IMABS(AN51)</f>
        <v>3098.616565102485</v>
      </c>
      <c r="AP51" s="132">
        <f>180/PI()*IMARGUMENT($AN51)</f>
        <v>95.0925585156318</v>
      </c>
      <c r="AQ51" s="133">
        <f t="shared" si="36"/>
        <v>19469.182074435215</v>
      </c>
      <c r="AR51" s="133">
        <f t="shared" si="16"/>
        <v>9.667533082745594E-07</v>
      </c>
      <c r="AS51" s="779">
        <f t="shared" si="17"/>
        <v>0.31031701410511187</v>
      </c>
      <c r="AT51" s="143">
        <f t="shared" si="18"/>
        <v>5000.000000000001</v>
      </c>
      <c r="AU51" s="120">
        <f t="shared" si="19"/>
        <v>500</v>
      </c>
      <c r="AV51" s="130">
        <f t="shared" si="20"/>
        <v>50000.00000000001</v>
      </c>
      <c r="AW51" s="582" t="str">
        <f>IF($D$10,IMDIV(COMPLEX(1,$B51/$D$49,"j"),COMPLEX(1,$B51/$D$50,"j")),COMPLEX(1,0,"j"))</f>
        <v>1</v>
      </c>
      <c r="AX51" s="149">
        <f>IMABS(AW51)</f>
        <v>1</v>
      </c>
      <c r="AY51" s="111"/>
    </row>
    <row r="52" spans="1:51" ht="15" customHeight="1">
      <c r="A52" s="118">
        <v>1.5</v>
      </c>
      <c r="B52" s="130">
        <f t="shared" si="37"/>
        <v>9.42477796076938</v>
      </c>
      <c r="C52" s="185" t="s">
        <v>510</v>
      </c>
      <c r="D52" s="787">
        <f>$D$18/$D$17</f>
        <v>2272727272.7272725</v>
      </c>
      <c r="E52" s="194" t="s">
        <v>57</v>
      </c>
      <c r="F52" s="194" t="s">
        <v>410</v>
      </c>
      <c r="G52" s="3"/>
      <c r="H52" s="139" t="str">
        <f>IMDIV(COMPLEX(0,$D$15*$D$23*$B52,"j"),COMPLEX(1,$B52*$D$16*$D$15*$D$23,"j"))</f>
        <v>1.12499999993672E-012+1.49999999991563E-007j</v>
      </c>
      <c r="I52" s="145">
        <f t="shared" si="15"/>
        <v>1E-05</v>
      </c>
      <c r="J52" s="150" t="str">
        <f>IMDIV(IF($D$12,$D$52/$D$19,$D$53)/$D$21,COMPLEX(1,$B52*IF($D$12,$D$52,$D$53*$D$19)*$D$17,"j"))</f>
        <v>7.07355302551012E-012-6.66666666591614E-007j</v>
      </c>
      <c r="K52" s="140" t="str">
        <f>IMSUM(IF($D$9,$H52,0),IF($D$7,$I52,0),IF($D$8,$J52,0))</f>
        <v>1.0000008198553E-005-5.16666666600051E-007j</v>
      </c>
      <c r="L52" s="139" t="str">
        <f>IMPRODUCT($D$22,$K52)</f>
        <v>4.0000032794212E-006-2.0666666664002E-007j</v>
      </c>
      <c r="M52" s="377">
        <f>IMABS($L52)</f>
        <v>4.0053386057211755E-06</v>
      </c>
      <c r="N52" s="141">
        <f t="shared" si="23"/>
        <v>249666.78187247703</v>
      </c>
      <c r="O52" s="498">
        <f t="shared" si="24"/>
        <v>26490.46830723382</v>
      </c>
      <c r="P52" s="141">
        <f t="shared" si="25"/>
        <v>499.33356374495406</v>
      </c>
      <c r="Q52" s="141">
        <f t="shared" si="26"/>
        <v>4706.107966655875</v>
      </c>
      <c r="R52" s="141">
        <f t="shared" si="27"/>
        <v>44354.02264513949</v>
      </c>
      <c r="S52" s="119" t="str">
        <f>IMDIV(1/$D$37,COMPLEX(1-$B52*$B52*$D$40*$D$40,$B52*2*$D$26*$D$40,"j"))</f>
        <v>5.07062091387148E-003-3.04511315015803E-006j</v>
      </c>
      <c r="T52" s="111">
        <f>IMABS($S52)</f>
        <v>0.005070621828228264</v>
      </c>
      <c r="U52" s="111">
        <f t="shared" si="28"/>
        <v>1.0141243656456527E-05</v>
      </c>
      <c r="V52" s="143">
        <f t="shared" si="29"/>
        <v>0.0009008105672185458</v>
      </c>
      <c r="W52" s="144">
        <f t="shared" si="30"/>
        <v>9.557896970816376E-05</v>
      </c>
      <c r="X52" s="22" t="str">
        <f>IMPRODUCT(IMDIV($D$28,COMPLEX(1,$B52*$D$29,"j")),$AW52)</f>
        <v>5000000000</v>
      </c>
      <c r="Y52" s="124">
        <f>IMABS($X52)</f>
        <v>5000000000</v>
      </c>
      <c r="Z52" s="111" t="str">
        <f>IMPRODUCT($S52,$X52)</f>
        <v>25353104.5693574-15225.5657507902j</v>
      </c>
      <c r="AA52" s="197">
        <f>IMABS($Z52)</f>
        <v>25353109.141141318</v>
      </c>
      <c r="AB52" s="111">
        <f t="shared" si="31"/>
        <v>50706.218282282636</v>
      </c>
      <c r="AC52" s="111">
        <f t="shared" si="32"/>
        <v>4504052.836092729</v>
      </c>
      <c r="AD52" s="145">
        <f t="shared" si="33"/>
        <v>477894.8485408188</v>
      </c>
      <c r="AE52" s="119" t="str">
        <f>IMPRODUCT($L52,$Z52)</f>
        <v>101.409354804017-5.30054392325916j</v>
      </c>
      <c r="AF52" s="141">
        <f>IMABS($AE52)</f>
        <v>101.54778681807598</v>
      </c>
      <c r="AG52" s="111">
        <f t="shared" si="21"/>
        <v>100.54778681807598</v>
      </c>
      <c r="AH52" s="106">
        <f>IF(AND(IMREAL(AE52)&lt;0,IMAGINARY(AE52)&gt;0),180/PI()*IMARGUMENT($AE52)-360,180/PI()*IMARGUMENT($AE52))</f>
        <v>-2.9920580599515283</v>
      </c>
      <c r="AI52" s="111" t="str">
        <f>IMDIV($Z52,IMSUM(1,IMPRODUCT($Z52,$L52)))</f>
        <v>246912.528611248+12631.1228093527j</v>
      </c>
      <c r="AJ52" s="141">
        <f>IMABS($AI52)</f>
        <v>247235.39804935965</v>
      </c>
      <c r="AK52" s="147">
        <f>180/PI()*IMARGUMENT($AI52)</f>
        <v>2.9284852955858054</v>
      </c>
      <c r="AL52" s="144">
        <f t="shared" si="34"/>
        <v>26232.49047123195</v>
      </c>
      <c r="AM52" s="146">
        <f t="shared" si="35"/>
        <v>494.4707960987193</v>
      </c>
      <c r="AN52" s="119" t="str">
        <f>IMPRODUCT($AI52,COMPLEX(0,$B52,"j"),$D$24)</f>
        <v>-238.091055746717+4654.19151578626j</v>
      </c>
      <c r="AO52" s="142">
        <f>IMABS(AN52)</f>
        <v>4660.2774613153015</v>
      </c>
      <c r="AP52" s="132">
        <f>180/PI()*IMARGUMENT($AN52)</f>
        <v>92.9284852955858</v>
      </c>
      <c r="AQ52" s="133">
        <f t="shared" si="36"/>
        <v>43922.0803084747</v>
      </c>
      <c r="AR52" s="133">
        <f t="shared" si="16"/>
        <v>9.69347788040853E-07</v>
      </c>
      <c r="AS52" s="779">
        <f t="shared" si="17"/>
        <v>0.3094864440824995</v>
      </c>
      <c r="AT52" s="143">
        <f t="shared" si="18"/>
        <v>7500</v>
      </c>
      <c r="AU52" s="120">
        <f t="shared" si="19"/>
        <v>500</v>
      </c>
      <c r="AV52" s="130">
        <f t="shared" si="20"/>
        <v>33333.333333333336</v>
      </c>
      <c r="AW52" s="582" t="str">
        <f>IF($D$10,IMDIV(COMPLEX(1,$B52/$D$49,"j"),COMPLEX(1,$B52/$D$50,"j")),COMPLEX(1,0,"j"))</f>
        <v>1</v>
      </c>
      <c r="AX52" s="149">
        <f>IMABS(AW52)</f>
        <v>1</v>
      </c>
      <c r="AY52" s="111"/>
    </row>
    <row r="53" spans="1:51" ht="15" customHeight="1" thickBot="1">
      <c r="A53" s="118">
        <v>2</v>
      </c>
      <c r="B53" s="130">
        <f t="shared" si="37"/>
        <v>12.566370614359172</v>
      </c>
      <c r="C53" s="530" t="s">
        <v>639</v>
      </c>
      <c r="D53" s="531">
        <f>IF(AND($D$8,($D$12)),$D$52/$D$19,$D$52/($D$19+$D$52))</f>
        <v>483.558994197292</v>
      </c>
      <c r="E53" s="4" t="s">
        <v>411</v>
      </c>
      <c r="F53" s="661" t="s">
        <v>640</v>
      </c>
      <c r="G53" s="5"/>
      <c r="H53" s="139" t="str">
        <f>IMDIV(COMPLEX(0,$D$15*$D$23*$B53,"j"),COMPLEX(1,$B53*$D$16*$D$15*$D$23,"j"))</f>
        <v>1.9999999998E-012+1.9999999998E-007j</v>
      </c>
      <c r="I53" s="145">
        <f t="shared" si="15"/>
        <v>1E-05</v>
      </c>
      <c r="J53" s="150" t="str">
        <f>IMDIV(IF($D$12,$D$52/$D$19,$D$53)/$D$21,COMPLEX(1,$B53*IF($D$12,$D$52,$D$53*$D$19)*$D$17,"j"))</f>
        <v>3.9788735770454E-012-4.99999999968336E-007j</v>
      </c>
      <c r="K53" s="140" t="str">
        <f>IMSUM(IF($D$9,$H53,0),IF($D$7,$I53,0),IF($D$8,$J53,0))</f>
        <v>1.00000059788736E-005-2.99999999988336E-007j</v>
      </c>
      <c r="L53" s="139" t="str">
        <f>IMPRODUCT($D$22,$K53)</f>
        <v>4.00000239154944E-006-1.19999999995334E-007j</v>
      </c>
      <c r="M53" s="377">
        <f>IMABS($L53)</f>
        <v>4.001801985655977E-06</v>
      </c>
      <c r="N53" s="141">
        <f t="shared" si="23"/>
        <v>249887.42661040975</v>
      </c>
      <c r="O53" s="498">
        <f t="shared" si="24"/>
        <v>19885.409580779968</v>
      </c>
      <c r="P53" s="141">
        <f t="shared" si="25"/>
        <v>499.7748532208195</v>
      </c>
      <c r="Q53" s="141">
        <f t="shared" si="26"/>
        <v>6280.356029309775</v>
      </c>
      <c r="R53" s="141">
        <f t="shared" si="27"/>
        <v>78921.28145443181</v>
      </c>
      <c r="S53" s="119" t="str">
        <f>IMDIV(1/$D$37,COMPLEX(1-$B53*$B53*$D$40*$D$40,$B53*2*$D$26*$D$40,"j"))</f>
        <v>5.07417460881496E-003-4.06584503911455E-006j</v>
      </c>
      <c r="T53" s="111">
        <f>IMABS($S53)</f>
        <v>0.005074176237759025</v>
      </c>
      <c r="U53" s="111">
        <f t="shared" si="28"/>
        <v>1.014835247551805E-05</v>
      </c>
      <c r="V53" s="143">
        <f t="shared" si="29"/>
        <v>0.0016025635880988645</v>
      </c>
      <c r="W53" s="144">
        <f t="shared" si="30"/>
        <v>0.0001275279583325092</v>
      </c>
      <c r="X53" s="22" t="str">
        <f>IMPRODUCT(IMDIV($D$28,COMPLEX(1,$B53*$D$29,"j")),$AW53)</f>
        <v>5000000000</v>
      </c>
      <c r="Y53" s="124">
        <f>IMABS($X53)</f>
        <v>5000000000</v>
      </c>
      <c r="Z53" s="111" t="str">
        <f>IMPRODUCT($S53,$X53)</f>
        <v>25370873.0440748-20329.2251955727j</v>
      </c>
      <c r="AA53" s="197">
        <f>IMABS($Z53)</f>
        <v>25370881.188795123</v>
      </c>
      <c r="AB53" s="111">
        <f t="shared" si="31"/>
        <v>50741.76237759025</v>
      </c>
      <c r="AC53" s="111">
        <f t="shared" si="32"/>
        <v>8012817.940494321</v>
      </c>
      <c r="AD53" s="145">
        <f t="shared" si="33"/>
        <v>637639.7916625459</v>
      </c>
      <c r="AE53" s="119" t="str">
        <f>IMPRODUCT($L53,$Z53)</f>
        <v>101.481113344973-3.12582171457123j</v>
      </c>
      <c r="AF53" s="141">
        <f>IMABS($AE53)</f>
        <v>101.52924271916214</v>
      </c>
      <c r="AG53" s="111">
        <f t="shared" si="21"/>
        <v>100.52924271916214</v>
      </c>
      <c r="AH53" s="106">
        <f>IF(AND(IMREAL(AE53)&lt;0,IMAGINARY(AE53)&gt;0),180/PI()*IMARGUMENT($AE53)-360,180/PI()*IMARGUMENT($AE53))</f>
        <v>-1.7642670447331985</v>
      </c>
      <c r="AI53" s="111" t="str">
        <f>IMDIV($Z53,IMSUM(1,IMPRODUCT($Z53,$L53)))</f>
        <v>247342.267895036+7345.92533346002j</v>
      </c>
      <c r="AJ53" s="141">
        <f>IMABS($AI53)</f>
        <v>247451.32876277814</v>
      </c>
      <c r="AK53" s="147">
        <f>180/PI()*IMARGUMENT($AI53)</f>
        <v>1.7011521626946156</v>
      </c>
      <c r="AL53" s="144">
        <f t="shared" si="34"/>
        <v>19691.55107362692</v>
      </c>
      <c r="AM53" s="146">
        <f t="shared" si="35"/>
        <v>494.90265752555626</v>
      </c>
      <c r="AN53" s="119" t="str">
        <f>IMPRODUCT($AI53,COMPLEX(0,$B53,"j"),$D$24)</f>
        <v>-184.623240491338+6216.38921393028j</v>
      </c>
      <c r="AO53" s="142">
        <f>IMABS(AN53)</f>
        <v>6219.130212497423</v>
      </c>
      <c r="AP53" s="132">
        <f>180/PI()*IMARGUMENT($AN53)</f>
        <v>91.70115216269461</v>
      </c>
      <c r="AQ53" s="133">
        <f t="shared" si="36"/>
        <v>78151.89514920079</v>
      </c>
      <c r="AR53" s="133">
        <f t="shared" si="16"/>
        <v>9.702027277963769E-07</v>
      </c>
      <c r="AS53" s="779">
        <f t="shared" si="17"/>
        <v>0.30921372554928855</v>
      </c>
      <c r="AT53" s="143">
        <f t="shared" si="18"/>
        <v>10000.000000000002</v>
      </c>
      <c r="AU53" s="120">
        <f t="shared" si="19"/>
        <v>500</v>
      </c>
      <c r="AV53" s="130">
        <f t="shared" si="20"/>
        <v>25000.000000000004</v>
      </c>
      <c r="AW53" s="582" t="str">
        <f>IF($D$10,IMDIV(COMPLEX(1,$B53/$D$49,"j"),COMPLEX(1,$B53/$D$50,"j")),COMPLEX(1,0,"j"))</f>
        <v>1</v>
      </c>
      <c r="AX53" s="149">
        <f>IMABS(AW53)</f>
        <v>1</v>
      </c>
      <c r="AY53" s="111"/>
    </row>
    <row r="54" spans="1:51" ht="15" customHeight="1">
      <c r="A54" s="118">
        <v>3</v>
      </c>
      <c r="B54" s="130">
        <f t="shared" si="37"/>
        <v>18.84955592153876</v>
      </c>
      <c r="H54" s="139" t="str">
        <f>IMDIV(COMPLEX(0,$D$15*$D$23*$B54,"j"),COMPLEX(1,$B54*$D$16*$D$15*$D$23,"j"))</f>
        <v>4.4999999989875E-012+2.999999999325E-007j</v>
      </c>
      <c r="I54" s="145">
        <f t="shared" si="15"/>
        <v>1E-05</v>
      </c>
      <c r="J54" s="150" t="str">
        <f>IMDIV(IF($D$12,$D$52/$D$19,$D$53)/$D$21,COMPLEX(1,$B54*IF($D$12,$D$52,$D$53*$D$19)*$D$17,"j"))</f>
        <v>1.76838825652684E-012-3.33333333323951E-007j</v>
      </c>
      <c r="K54" s="140" t="str">
        <f>IMSUM(IF($D$9,$H54,0),IF($D$7,$I54,0),IF($D$8,$J54,0))</f>
        <v>1.00000062683883E-005-3.3333333391451E-008j</v>
      </c>
      <c r="L54" s="139" t="str">
        <f>IMPRODUCT($D$22,$K54)</f>
        <v>4.00000250735532E-006-1.33333333565804E-008j</v>
      </c>
      <c r="M54" s="377">
        <f>IMABS($L54)</f>
        <v>4.000024729501962E-06</v>
      </c>
      <c r="N54" s="141">
        <f t="shared" si="23"/>
        <v>249998.45441568276</v>
      </c>
      <c r="O54" s="498">
        <f t="shared" si="24"/>
        <v>13262.829928529927</v>
      </c>
      <c r="P54" s="141">
        <f t="shared" si="25"/>
        <v>499.99690883136554</v>
      </c>
      <c r="Q54" s="141">
        <f t="shared" si="26"/>
        <v>9424.71969361334</v>
      </c>
      <c r="R54" s="141">
        <f t="shared" si="27"/>
        <v>177651.7809095923</v>
      </c>
      <c r="S54" s="119" t="str">
        <f>IMDIV(1/$D$37,COMPLEX(1-$B54*$B54*$D$40*$D$40,$B54*2*$D$26*$D$40,"j"))</f>
        <v>5.08435551404298E-003-6.12327039025649E-006j</v>
      </c>
      <c r="T54" s="111">
        <f>IMABS($S54)</f>
        <v>0.005084359201277928</v>
      </c>
      <c r="U54" s="111">
        <f t="shared" si="28"/>
        <v>1.0168718402555855E-05</v>
      </c>
      <c r="V54" s="143">
        <f t="shared" si="29"/>
        <v>0.0036130042043749297</v>
      </c>
      <c r="W54" s="144">
        <f t="shared" si="30"/>
        <v>0.00019167582617935684</v>
      </c>
      <c r="X54" s="22" t="str">
        <f>IMPRODUCT(IMDIV($D$28,COMPLEX(1,$B54*$D$29,"j")),$AW54)</f>
        <v>5000000000</v>
      </c>
      <c r="Y54" s="124">
        <f>IMABS($X54)</f>
        <v>5000000000</v>
      </c>
      <c r="Z54" s="111" t="str">
        <f>IMPRODUCT($S54,$X54)</f>
        <v>25421777.5702149-30616.3519512825j</v>
      </c>
      <c r="AA54" s="197">
        <f>IMABS($Z54)</f>
        <v>25421796.00638964</v>
      </c>
      <c r="AB54" s="111">
        <f t="shared" si="31"/>
        <v>50843.592012779285</v>
      </c>
      <c r="AC54" s="111">
        <f t="shared" si="32"/>
        <v>18065021.02187465</v>
      </c>
      <c r="AD54" s="145">
        <f t="shared" si="33"/>
        <v>958379.1308967845</v>
      </c>
      <c r="AE54" s="119" t="str">
        <f>IMPRODUCT($L54,$Z54)</f>
        <v>101.686765804262-0.461422519431717j</v>
      </c>
      <c r="AF54" s="141">
        <f>IMABS($AE54)</f>
        <v>101.68781269391265</v>
      </c>
      <c r="AG54" s="111">
        <f t="shared" si="21"/>
        <v>100.68781269391265</v>
      </c>
      <c r="AH54" s="106">
        <f>IF(AND(IMREAL(AE54)&lt;0,IMAGINARY(AE54)&gt;0),180/PI()*IMARGUMENT($AE54)-360,180/PI()*IMARGUMENT($AE54))</f>
        <v>-0.2599884190819121</v>
      </c>
      <c r="AI54" s="111" t="str">
        <f>IMDIV($Z54,IMSUM(1,IMPRODUCT($Z54,$L54)))</f>
        <v>247562.591432978+814.268538402995j</v>
      </c>
      <c r="AJ54" s="141">
        <f>IMABS($AI54)</f>
        <v>247563.9305518157</v>
      </c>
      <c r="AK54" s="147">
        <f>180/PI()*IMARGUMENT($AI54)</f>
        <v>0.18845328015782628</v>
      </c>
      <c r="AL54" s="144">
        <f t="shared" si="34"/>
        <v>13133.674426193385</v>
      </c>
      <c r="AM54" s="146">
        <f t="shared" si="35"/>
        <v>495.1278611036314</v>
      </c>
      <c r="AN54" s="119" t="str">
        <f>IMPRODUCT($AI54,COMPLEX(0,$B54,"j"),$D$24)</f>
        <v>-30.6972006995538+9332.88982259396j</v>
      </c>
      <c r="AO54" s="142">
        <f>IMABS(AN54)</f>
        <v>9332.940306184792</v>
      </c>
      <c r="AP54" s="132">
        <f>180/PI()*IMARGUMENT($AN54)</f>
        <v>90.18845328015783</v>
      </c>
      <c r="AQ54" s="133">
        <f t="shared" si="36"/>
        <v>175921.78021381298</v>
      </c>
      <c r="AR54" s="133">
        <f t="shared" si="16"/>
        <v>9.706485625412602E-07</v>
      </c>
      <c r="AS54" s="779">
        <f t="shared" si="17"/>
        <v>0.3090716986326837</v>
      </c>
      <c r="AT54" s="143">
        <f t="shared" si="18"/>
        <v>15000</v>
      </c>
      <c r="AU54" s="120">
        <f t="shared" si="19"/>
        <v>500</v>
      </c>
      <c r="AV54" s="130">
        <f t="shared" si="20"/>
        <v>16666.666666666668</v>
      </c>
      <c r="AW54" s="582" t="str">
        <f>IF($D$10,IMDIV(COMPLEX(1,$B54/$D$49,"j"),COMPLEX(1,$B54/$D$50,"j")),COMPLEX(1,0,"j"))</f>
        <v>1</v>
      </c>
      <c r="AX54" s="149">
        <f>IMABS(AW54)</f>
        <v>1</v>
      </c>
      <c r="AY54" s="111"/>
    </row>
    <row r="55" spans="1:51" ht="15" customHeight="1" thickBot="1">
      <c r="A55" s="118">
        <v>4</v>
      </c>
      <c r="B55" s="130">
        <f t="shared" si="37"/>
        <v>25.132741228718345</v>
      </c>
      <c r="H55" s="139" t="str">
        <f>IMDIV(COMPLEX(0,$D$15*$D$23*$B55,"j"),COMPLEX(1,$B55*$D$16*$D$15*$D$23,"j"))</f>
        <v>7.9999999968E-012+3.9999999984E-007j</v>
      </c>
      <c r="I55" s="145">
        <f t="shared" si="15"/>
        <v>1E-05</v>
      </c>
      <c r="J55" s="150" t="str">
        <f>IMDIV(IF($D$12,$D$52/$D$19,$D$53)/$D$21,COMPLEX(1,$B55*IF($D$12,$D$52,$D$53*$D$19)*$D$17,"j"))</f>
        <v>9.94718394308601E-013-2.49999999996043E-007j</v>
      </c>
      <c r="K55" s="140" t="str">
        <f>IMSUM(IF($D$9,$H55,0),IF($D$7,$I55,0),IF($D$8,$J55,0))</f>
        <v>1.00000089947184E-005+1.49999999843957E-007j</v>
      </c>
      <c r="L55" s="139" t="str">
        <f>IMPRODUCT($D$22,$K55)</f>
        <v>4.00000359788736E-006+5.99999999375828E-008j</v>
      </c>
      <c r="M55" s="377">
        <f>IMABS($L55)</f>
        <v>4.000453572172077E-06</v>
      </c>
      <c r="N55" s="141">
        <f t="shared" si="23"/>
        <v>249971.65495337627</v>
      </c>
      <c r="O55" s="498">
        <f t="shared" si="24"/>
        <v>9946.056129672876</v>
      </c>
      <c r="P55" s="141">
        <f t="shared" si="25"/>
        <v>499.9433099067526</v>
      </c>
      <c r="Q55" s="141">
        <f t="shared" si="26"/>
        <v>12564.945836915353</v>
      </c>
      <c r="R55" s="141">
        <f t="shared" si="27"/>
        <v>315791.5322720554</v>
      </c>
      <c r="S55" s="119" t="str">
        <f>IMDIV(1/$D$37,COMPLEX(1-$B55*$B55*$D$40*$D$40,$B55*2*$D$26*$D$40,"j"))</f>
        <v>5.09867758195196E-003-8.21043088881153E-006j</v>
      </c>
      <c r="T55" s="111">
        <f>IMABS($S55)</f>
        <v>0.005098684192600564</v>
      </c>
      <c r="U55" s="111">
        <f t="shared" si="28"/>
        <v>1.0197368385201129E-05</v>
      </c>
      <c r="V55" s="143">
        <f t="shared" si="29"/>
        <v>0.0064412154812230745</v>
      </c>
      <c r="W55" s="144">
        <f t="shared" si="30"/>
        <v>0.00025628782083917344</v>
      </c>
      <c r="X55" s="22" t="str">
        <f>IMPRODUCT(IMDIV($D$28,COMPLEX(1,$B55*$D$29,"j")),$AW55)</f>
        <v>5000000000</v>
      </c>
      <c r="Y55" s="124">
        <f>IMABS($X55)</f>
        <v>5000000000</v>
      </c>
      <c r="Z55" s="111" t="str">
        <f>IMPRODUCT($S55,$X55)</f>
        <v>25493387.9097598-41052.1544440576j</v>
      </c>
      <c r="AA55" s="197">
        <f>IMABS($Z55)</f>
        <v>25493420.96300282</v>
      </c>
      <c r="AB55" s="111">
        <f t="shared" si="31"/>
        <v>50986.84192600564</v>
      </c>
      <c r="AC55" s="111">
        <f t="shared" si="32"/>
        <v>32206077.406115368</v>
      </c>
      <c r="AD55" s="145">
        <f t="shared" si="33"/>
        <v>1281439.104195867</v>
      </c>
      <c r="AE55" s="119" t="str">
        <f>IMPRODUCT($L55,$Z55)</f>
        <v>101.976106490641+1.3653945075171j</v>
      </c>
      <c r="AF55" s="141">
        <f>IMABS($AE55)</f>
        <v>101.98524695833075</v>
      </c>
      <c r="AG55" s="111">
        <f t="shared" si="21"/>
        <v>100.98524695833075</v>
      </c>
      <c r="AH55" s="106">
        <f>IF(AND(IMREAL(AE55)&lt;0,IMAGINARY(AE55)&gt;0),180/PI()*IMARGUMENT($AE55)-360,180/PI()*IMARGUMENT($AE55))</f>
        <v>0.7671078145096933</v>
      </c>
      <c r="AI55" s="111" t="str">
        <f>IMDIV($Z55,IMSUM(1,IMPRODUCT($Z55,$L55)))</f>
        <v>247517.247906368-3680.57074759966j</v>
      </c>
      <c r="AJ55" s="141">
        <f>IMABS($AI55)</f>
        <v>247544.6113575703</v>
      </c>
      <c r="AK55" s="147">
        <f>180/PI()*IMARGUMENT($AI55)</f>
        <v>-0.8519229703891873</v>
      </c>
      <c r="AL55" s="144">
        <f t="shared" si="34"/>
        <v>9849.487133329863</v>
      </c>
      <c r="AM55" s="146">
        <f t="shared" si="35"/>
        <v>495.08922271514064</v>
      </c>
      <c r="AN55" s="119" t="str">
        <f>IMPRODUCT($AI55,COMPLEX(0,$B55,"j"),$D$24)</f>
        <v>185.005664346825+12441.5738825505j</v>
      </c>
      <c r="AO55" s="142">
        <f>IMABS(AN55)</f>
        <v>12442.949319626885</v>
      </c>
      <c r="AP55" s="132">
        <f>180/PI()*IMARGUMENT($AN55)</f>
        <v>89.14807702961082</v>
      </c>
      <c r="AQ55" s="133">
        <f t="shared" si="36"/>
        <v>312725.4253722407</v>
      </c>
      <c r="AR55" s="133">
        <f t="shared" si="16"/>
        <v>9.705720757477474E-07</v>
      </c>
      <c r="AS55" s="779">
        <f t="shared" si="17"/>
        <v>0.30909605530210027</v>
      </c>
      <c r="AT55" s="143">
        <f t="shared" si="18"/>
        <v>20000.000000000004</v>
      </c>
      <c r="AU55" s="120">
        <f t="shared" si="19"/>
        <v>500</v>
      </c>
      <c r="AV55" s="130">
        <f t="shared" si="20"/>
        <v>12500.000000000002</v>
      </c>
      <c r="AW55" s="582" t="str">
        <f>IF($D$10,IMDIV(COMPLEX(1,$B55/$D$49,"j"),COMPLEX(1,$B55/$D$50,"j")),COMPLEX(1,0,"j"))</f>
        <v>1</v>
      </c>
      <c r="AX55" s="149">
        <f>IMABS(AW55)</f>
        <v>1</v>
      </c>
      <c r="AY55" s="111"/>
    </row>
    <row r="56" spans="1:51" ht="15" customHeight="1">
      <c r="A56" s="118">
        <v>5</v>
      </c>
      <c r="B56" s="130">
        <f t="shared" si="37"/>
        <v>31.41592653589793</v>
      </c>
      <c r="C56" s="286" t="s">
        <v>383</v>
      </c>
      <c r="D56" s="31"/>
      <c r="E56" s="31"/>
      <c r="F56" s="31"/>
      <c r="G56" s="248"/>
      <c r="H56" s="139" t="str">
        <f>IMDIV(COMPLEX(0,$D$15*$D$23*$B56,"j"),COMPLEX(1,$B56*$D$16*$D$15*$D$23,"j"))</f>
        <v>1.24999999921875E-011+4.999999996875E-007j</v>
      </c>
      <c r="I56" s="145">
        <f t="shared" si="15"/>
        <v>1E-05</v>
      </c>
      <c r="J56" s="150" t="str">
        <f>IMDIV(IF($D$12,$D$52/$D$19,$D$53)/$D$21,COMPLEX(1,$B56*IF($D$12,$D$52,$D$53*$D$19)*$D$17,"j"))</f>
        <v>6.36619772361132E-013-1.99999999997974E-007j</v>
      </c>
      <c r="K56" s="140" t="str">
        <f>IMSUM(IF($D$9,$H56,0),IF($D$7,$I56,0),IF($D$8,$J56,0))</f>
        <v>1.00000131366198E-005+2.99999999689526E-007j</v>
      </c>
      <c r="L56" s="139" t="str">
        <f>IMPRODUCT($D$22,$K56)</f>
        <v>4.00000525464792E-006+1.1999999987581E-007j</v>
      </c>
      <c r="M56" s="377">
        <f>IMABS($L56)</f>
        <v>4.001804847463349E-06</v>
      </c>
      <c r="N56" s="141">
        <f t="shared" si="23"/>
        <v>249887.24790862223</v>
      </c>
      <c r="O56" s="498">
        <f t="shared" si="24"/>
        <v>7954.158144057423</v>
      </c>
      <c r="P56" s="141">
        <f t="shared" si="25"/>
        <v>499.7744958172445</v>
      </c>
      <c r="Q56" s="141">
        <f t="shared" si="26"/>
        <v>15700.87884510998</v>
      </c>
      <c r="R56" s="141">
        <f t="shared" si="27"/>
        <v>493257.6563470091</v>
      </c>
      <c r="S56" s="119" t="str">
        <f>IMDIV(1/$D$37,COMPLEX(1-$B56*$B56*$D$40*$D$40,$B56*2*$D$26*$D$40,"j"))</f>
        <v>5.1172106126449E-003-1.03377992174644E-005j</v>
      </c>
      <c r="T56" s="111">
        <f>IMABS($S56)</f>
        <v>0.005117221054855676</v>
      </c>
      <c r="U56" s="111">
        <f t="shared" si="28"/>
        <v>1.0234442109711353E-05</v>
      </c>
      <c r="V56" s="143">
        <f t="shared" si="29"/>
        <v>0.010100989488870142</v>
      </c>
      <c r="W56" s="144">
        <f t="shared" si="30"/>
        <v>0.0003215244814545921</v>
      </c>
      <c r="X56" s="22" t="str">
        <f>IMPRODUCT(IMDIV($D$28,COMPLEX(1,$B56*$D$29,"j")),$AW56)</f>
        <v>5000000000</v>
      </c>
      <c r="Y56" s="124">
        <f>IMABS($X56)</f>
        <v>5000000000</v>
      </c>
      <c r="Z56" s="111" t="str">
        <f>IMPRODUCT($S56,$X56)</f>
        <v>25586053.0632245-51688.996087322j</v>
      </c>
      <c r="AA56" s="197">
        <f>IMABS($Z56)</f>
        <v>25586105.274278384</v>
      </c>
      <c r="AB56" s="111">
        <f t="shared" si="31"/>
        <v>51172.210548556766</v>
      </c>
      <c r="AC56" s="111">
        <f t="shared" si="32"/>
        <v>50504947.44435071</v>
      </c>
      <c r="AD56" s="145">
        <f t="shared" si="33"/>
        <v>1607622.4072729605</v>
      </c>
      <c r="AE56" s="119" t="str">
        <f>IMPRODUCT($L56,$Z56)</f>
        <v>102.350549378123+2.86357010845264j</v>
      </c>
      <c r="AF56" s="141">
        <f>IMABS($AE56)</f>
        <v>102.39060011431528</v>
      </c>
      <c r="AG56" s="111">
        <f t="shared" si="21"/>
        <v>101.39060011431528</v>
      </c>
      <c r="AH56" s="106">
        <f>IF(AND(IMREAL(AE56)&lt;0,IMAGINARY(AE56)&gt;0),180/PI()*IMARGUMENT($AE56)-360,180/PI()*IMARGUMENT($AE56))</f>
        <v>1.602606851836763</v>
      </c>
      <c r="AI56" s="111" t="str">
        <f>IMDIV($Z56,IMSUM(1,IMPRODUCT($Z56,$L56)))</f>
        <v>247361.96248792-7353.87786914652j</v>
      </c>
      <c r="AJ56" s="141">
        <f>IMABS($AI56)</f>
        <v>247471.25086682185</v>
      </c>
      <c r="AK56" s="147">
        <f>180/PI()*IMARGUMENT($AI56)</f>
        <v>-1.7028571984617098</v>
      </c>
      <c r="AL56" s="144">
        <f t="shared" si="34"/>
        <v>7877.2545697178375</v>
      </c>
      <c r="AM56" s="146">
        <f t="shared" si="35"/>
        <v>494.9425017336437</v>
      </c>
      <c r="AN56" s="119" t="str">
        <f>IMPRODUCT($AI56,COMPLEX(0,$B56,"j"),$D$24)</f>
        <v>462.057773782145+15542.2104825921j</v>
      </c>
      <c r="AO56" s="142">
        <f>IMABS(AN56)</f>
        <v>15549.077273957715</v>
      </c>
      <c r="AP56" s="132">
        <f>180/PI()*IMARGUMENT($AN56)</f>
        <v>88.2971428015383</v>
      </c>
      <c r="AQ56" s="133">
        <f t="shared" si="36"/>
        <v>488488.66933965473</v>
      </c>
      <c r="AR56" s="133">
        <f t="shared" si="16"/>
        <v>9.702816450283939E-07</v>
      </c>
      <c r="AS56" s="779">
        <f t="shared" si="17"/>
        <v>0.3091885758502841</v>
      </c>
      <c r="AT56" s="143">
        <f t="shared" si="18"/>
        <v>25000.000000000004</v>
      </c>
      <c r="AU56" s="120">
        <f t="shared" si="19"/>
        <v>500</v>
      </c>
      <c r="AV56" s="130">
        <f t="shared" si="20"/>
        <v>10000</v>
      </c>
      <c r="AW56" s="582" t="str">
        <f>IF($D$10,IMDIV(COMPLEX(1,$B56/$D$49,"j"),COMPLEX(1,$B56/$D$50,"j")),COMPLEX(1,0,"j"))</f>
        <v>1</v>
      </c>
      <c r="AX56" s="149">
        <f>IMABS(AW56)</f>
        <v>1</v>
      </c>
      <c r="AY56" s="111"/>
    </row>
    <row r="57" spans="1:51" ht="15" customHeight="1" thickBot="1">
      <c r="A57" s="118">
        <v>6</v>
      </c>
      <c r="B57" s="130">
        <f t="shared" si="37"/>
        <v>37.69911184307752</v>
      </c>
      <c r="C57" s="263" t="s">
        <v>384</v>
      </c>
      <c r="D57" s="253"/>
      <c r="E57" s="253"/>
      <c r="F57" s="253"/>
      <c r="G57" s="254"/>
      <c r="H57" s="139" t="str">
        <f>IMDIV(COMPLEX(0,$D$15*$D$23*$B57,"j"),COMPLEX(1,$B57*$D$16*$D$15*$D$23,"j"))</f>
        <v>1.79999999838E-011+5.9999999946E-007j</v>
      </c>
      <c r="I57" s="145">
        <f t="shared" si="15"/>
        <v>1E-05</v>
      </c>
      <c r="J57" s="150" t="str">
        <f>IMDIV(IF($D$12,$D$52/$D$19,$D$53)/$D$21,COMPLEX(1,$B57*IF($D$12,$D$52,$D$53*$D$19)*$D$17,"j"))</f>
        <v>4.42097064141043E-013-1.66666666665494E-007j</v>
      </c>
      <c r="K57" s="140" t="str">
        <f>IMSUM(IF($D$9,$H57,0),IF($D$7,$I57,0),IF($D$8,$J57,0))</f>
        <v>1.0000018442097E-005+4.33333332794506E-007j</v>
      </c>
      <c r="L57" s="139" t="str">
        <f>IMPRODUCT($D$22,$K57)</f>
        <v>4.0000073768388E-006+1.73333333117802E-007j</v>
      </c>
      <c r="M57" s="377">
        <f>IMABS($L57)</f>
        <v>4.003761164097398E-06</v>
      </c>
      <c r="N57" s="141">
        <f t="shared" si="23"/>
        <v>249765.14807307158</v>
      </c>
      <c r="O57" s="498">
        <f t="shared" si="24"/>
        <v>6625.226321318087</v>
      </c>
      <c r="P57" s="141">
        <f t="shared" si="25"/>
        <v>499.5302961461432</v>
      </c>
      <c r="Q57" s="141">
        <f t="shared" si="26"/>
        <v>18831.848503419085</v>
      </c>
      <c r="R57" s="141">
        <f t="shared" si="27"/>
        <v>709943.962942288</v>
      </c>
      <c r="S57" s="119" t="str">
        <f>IMDIV(1/$D$37,COMPLEX(1-$B57*$B57*$D$40*$D$40,$B57*2*$D$26*$D$40,"j"))</f>
        <v>5.14004580244336E-003-1.25163452981575E-005j</v>
      </c>
      <c r="T57" s="111">
        <f>IMABS($S57)</f>
        <v>0.005140061041477546</v>
      </c>
      <c r="U57" s="111">
        <f t="shared" si="28"/>
        <v>1.0280122082955092E-05</v>
      </c>
      <c r="V57" s="143">
        <f t="shared" si="29"/>
        <v>0.014610346294128404</v>
      </c>
      <c r="W57" s="144">
        <f t="shared" si="30"/>
        <v>0.000387551472165815</v>
      </c>
      <c r="X57" s="22" t="str">
        <f>IMPRODUCT(IMDIV($D$28,COMPLEX(1,$B57*$D$29,"j")),$AW57)</f>
        <v>5000000000</v>
      </c>
      <c r="Y57" s="124">
        <f>IMABS($X57)</f>
        <v>5000000000</v>
      </c>
      <c r="Z57" s="111" t="str">
        <f>IMPRODUCT($S57,$X57)</f>
        <v>25700229.0122168-62581.7264907875j</v>
      </c>
      <c r="AA57" s="197">
        <f>IMABS($Z57)</f>
        <v>25700305.207387727</v>
      </c>
      <c r="AB57" s="111">
        <f t="shared" si="31"/>
        <v>51400.61041477545</v>
      </c>
      <c r="AC57" s="111">
        <f t="shared" si="32"/>
        <v>73051731.47064202</v>
      </c>
      <c r="AD57" s="145">
        <f t="shared" si="33"/>
        <v>1937757.3608290749</v>
      </c>
      <c r="AE57" s="119" t="str">
        <f>IMPRODUCT($L57,$Z57)</f>
        <v>102.811953134559+4.20437898895992j</v>
      </c>
      <c r="AF57" s="141">
        <f>IMABS($AE57)</f>
        <v>102.89788389478943</v>
      </c>
      <c r="AG57" s="111">
        <f t="shared" si="21"/>
        <v>101.89788389478943</v>
      </c>
      <c r="AH57" s="106">
        <f>IF(AND(IMREAL(AE57)&lt;0,IMAGINARY(AE57)&gt;0),180/PI()*IMARGUMENT($AE57)-360,180/PI()*IMARGUMENT($AE57))</f>
        <v>2.341741560009892</v>
      </c>
      <c r="AI57" s="111" t="str">
        <f>IMDIV($Z57,IMSUM(1,IMPRODUCT($Z57,$L57)))</f>
        <v>247135.442152321-10611.8106214167j</v>
      </c>
      <c r="AJ57" s="141">
        <f>IMABS($AI57)</f>
        <v>247363.16882771376</v>
      </c>
      <c r="AK57" s="147">
        <f>180/PI()*IMARGUMENT($AI57)</f>
        <v>-2.4587274460246573</v>
      </c>
      <c r="AL57" s="144">
        <f t="shared" si="34"/>
        <v>6561.511842967614</v>
      </c>
      <c r="AM57" s="146">
        <f t="shared" si="35"/>
        <v>494.7263376554275</v>
      </c>
      <c r="AN57" s="119" t="str">
        <f>IMPRODUCT($AI57,COMPLEX(0,$B57,"j"),$D$24)</f>
        <v>800.111670948692+18633.5733481775j</v>
      </c>
      <c r="AO57" s="142">
        <f>IMABS(AN57)</f>
        <v>18650.743534988065</v>
      </c>
      <c r="AP57" s="132">
        <f>180/PI()*IMARGUMENT($AN57)</f>
        <v>87.54127255397535</v>
      </c>
      <c r="AQ57" s="133">
        <f t="shared" si="36"/>
        <v>703116.4664820711</v>
      </c>
      <c r="AR57" s="133">
        <f t="shared" si="16"/>
        <v>9.69853791817018E-07</v>
      </c>
      <c r="AS57" s="779">
        <f t="shared" si="17"/>
        <v>0.30932497509542234</v>
      </c>
      <c r="AT57" s="143">
        <f t="shared" si="18"/>
        <v>30000</v>
      </c>
      <c r="AU57" s="120">
        <f t="shared" si="19"/>
        <v>500</v>
      </c>
      <c r="AV57" s="130">
        <f t="shared" si="20"/>
        <v>8333.333333333334</v>
      </c>
      <c r="AW57" s="582" t="str">
        <f>IF($D$10,IMDIV(COMPLEX(1,$B57/$D$49,"j"),COMPLEX(1,$B57/$D$50,"j")),COMPLEX(1,0,"j"))</f>
        <v>1</v>
      </c>
      <c r="AX57" s="149">
        <f>IMABS(AW57)</f>
        <v>1</v>
      </c>
      <c r="AY57" s="111"/>
    </row>
    <row r="58" spans="1:51" ht="15" customHeight="1" thickBot="1">
      <c r="A58" s="118">
        <v>7</v>
      </c>
      <c r="B58" s="130">
        <f t="shared" si="37"/>
        <v>43.982297150257104</v>
      </c>
      <c r="C58" s="264" t="s">
        <v>799</v>
      </c>
      <c r="D58" s="265"/>
      <c r="E58" s="242"/>
      <c r="F58" s="760" t="s">
        <v>380</v>
      </c>
      <c r="G58" s="761"/>
      <c r="H58" s="139" t="str">
        <f>IMDIV(COMPLEX(0,$D$15*$D$23*$B58,"j"),COMPLEX(1,$B58*$D$16*$D$15*$D$23,"j"))</f>
        <v>2.44999999699875E-011+6.999999991425E-007j</v>
      </c>
      <c r="I58" s="145">
        <f t="shared" si="15"/>
        <v>1E-05</v>
      </c>
      <c r="J58" s="150" t="str">
        <f>IMDIV(IF($D$12,$D$52/$D$19,$D$53)/$D$21,COMPLEX(1,$B58*IF($D$12,$D$52,$D$53*$D$19)*$D$17,"j"))</f>
        <v>3.24806006308311E-013-1.42857142856404E-007j</v>
      </c>
      <c r="K58" s="140" t="str">
        <f>IMSUM(IF($D$9,$H58,0),IF($D$7,$I58,0),IF($D$8,$J58,0))</f>
        <v>1.0000024824806E-005+5.57142856286096E-007j</v>
      </c>
      <c r="L58" s="139" t="str">
        <f>IMPRODUCT($D$22,$K58)</f>
        <v>4.0000099299224E-006+2.22857142514438E-007j</v>
      </c>
      <c r="M58" s="377">
        <f>IMABS($L58)</f>
        <v>4.006213267594164E-06</v>
      </c>
      <c r="N58" s="141">
        <f t="shared" si="23"/>
        <v>249612.27303820653</v>
      </c>
      <c r="O58" s="498">
        <f t="shared" si="24"/>
        <v>5675.289587204915</v>
      </c>
      <c r="P58" s="141">
        <f t="shared" si="25"/>
        <v>499.2245460764131</v>
      </c>
      <c r="Q58" s="141">
        <f t="shared" si="26"/>
        <v>21957.04233023502</v>
      </c>
      <c r="R58" s="141">
        <f t="shared" si="27"/>
        <v>965721.1603091704</v>
      </c>
      <c r="S58" s="119" t="str">
        <f>IMDIV(1/$D$37,COMPLEX(1-$B58*$B58*$D$40*$D$40,$B58*2*$D$26*$D$40,"j"))</f>
        <v>5.16729687944489E-003-1.475768182624E-005j</v>
      </c>
      <c r="T58" s="111">
        <f>IMABS($S58)</f>
        <v>0.005167317953202975</v>
      </c>
      <c r="U58" s="111">
        <f t="shared" si="28"/>
        <v>1.033463590640595E-05</v>
      </c>
      <c r="V58" s="143">
        <f t="shared" si="29"/>
        <v>0.019991758533001974</v>
      </c>
      <c r="W58" s="144">
        <f t="shared" si="30"/>
        <v>0.00045454102737526317</v>
      </c>
      <c r="X58" s="22" t="str">
        <f>IMPRODUCT(IMDIV($D$28,COMPLEX(1,$B58*$D$29,"j")),$AW58)</f>
        <v>5000000000</v>
      </c>
      <c r="Y58" s="124">
        <f>IMABS($X58)</f>
        <v>5000000000</v>
      </c>
      <c r="Z58" s="111" t="str">
        <f>IMPRODUCT($S58,$X58)</f>
        <v>25836484.3972245-73788.4091312j</v>
      </c>
      <c r="AA58" s="197">
        <f>IMABS($Z58)</f>
        <v>25836589.766014926</v>
      </c>
      <c r="AB58" s="111">
        <f t="shared" si="31"/>
        <v>51673.179532029855</v>
      </c>
      <c r="AC58" s="111">
        <f t="shared" si="32"/>
        <v>99958792.66501006</v>
      </c>
      <c r="AD58" s="145">
        <f t="shared" si="33"/>
        <v>2272705.1368763205</v>
      </c>
      <c r="AE58" s="119" t="str">
        <f>IMPRODUCT($L58,$Z58)</f>
        <v>103.362638417193+5.46269071614634j</v>
      </c>
      <c r="AF58" s="141">
        <f>IMABS($AE58)</f>
        <v>103.50688870999674</v>
      </c>
      <c r="AG58" s="111">
        <f t="shared" si="21"/>
        <v>102.50688870999674</v>
      </c>
      <c r="AH58" s="106">
        <f>IF(AND(IMREAL(AE58)&lt;0,IMAGINARY(AE58)&gt;0),180/PI()*IMARGUMENT($AE58)-360,180/PI()*IMARGUMENT($AE58))</f>
        <v>3.0252537277581535</v>
      </c>
      <c r="AI58" s="111" t="str">
        <f>IMDIV($Z58,IMSUM(1,IMPRODUCT($Z58,$L58)))</f>
        <v>246851.161765005-13628.0567485205j</v>
      </c>
      <c r="AJ58" s="141">
        <f>IMABS($AI58)</f>
        <v>247227.06161638853</v>
      </c>
      <c r="AK58" s="147">
        <f>180/PI()*IMARGUMENT($AI58)</f>
        <v>-3.159953897291805</v>
      </c>
      <c r="AL58" s="144">
        <f t="shared" si="34"/>
        <v>5621.058417476117</v>
      </c>
      <c r="AM58" s="146">
        <f t="shared" si="35"/>
        <v>494.4541232327771</v>
      </c>
      <c r="AN58" s="119" t="str">
        <f>IMPRODUCT($AI58,COMPLEX(0,$B58,"j"),$D$24)</f>
        <v>1198.78648298799+21714.1622972693j</v>
      </c>
      <c r="AO58" s="142">
        <f>IMABS(AN58)</f>
        <v>21747.22817519387</v>
      </c>
      <c r="AP58" s="132">
        <f>180/PI()*IMARGUMENT($AN58)</f>
        <v>86.8400461027082</v>
      </c>
      <c r="AQ58" s="133">
        <f t="shared" si="36"/>
        <v>956493.0517958193</v>
      </c>
      <c r="AR58" s="133">
        <f t="shared" si="16"/>
        <v>9.693150605190787E-07</v>
      </c>
      <c r="AS58" s="779">
        <f t="shared" si="17"/>
        <v>0.30949689344488956</v>
      </c>
      <c r="AT58" s="143">
        <f t="shared" si="18"/>
        <v>35000</v>
      </c>
      <c r="AU58" s="120">
        <f t="shared" si="19"/>
        <v>500</v>
      </c>
      <c r="AV58" s="130">
        <f t="shared" si="20"/>
        <v>7142.857142857144</v>
      </c>
      <c r="AW58" s="582" t="str">
        <f>IF($D$10,IMDIV(COMPLEX(1,$B58/$D$49,"j"),COMPLEX(1,$B58/$D$50,"j")),COMPLEX(1,0,"j"))</f>
        <v>1</v>
      </c>
      <c r="AX58" s="149">
        <f>IMABS(AW58)</f>
        <v>1</v>
      </c>
      <c r="AY58" s="111"/>
    </row>
    <row r="59" spans="1:51" ht="15" customHeight="1" thickBot="1">
      <c r="A59" s="118">
        <v>8</v>
      </c>
      <c r="B59" s="130">
        <f t="shared" si="37"/>
        <v>50.26548245743669</v>
      </c>
      <c r="C59" s="235"/>
      <c r="D59" s="361" t="str">
        <f>IF(ABS($D$43/$D$60-1)&lt;0.005,"MATCHES","")</f>
        <v>MATCHES</v>
      </c>
      <c r="E59" s="522"/>
      <c r="F59" s="762"/>
      <c r="G59" s="763"/>
      <c r="H59" s="139" t="str">
        <f>IMDIV(COMPLEX(0,$D$15*$D$23*$B59,"j"),COMPLEX(1,$B59*$D$16*$D$15*$D$23,"j"))</f>
        <v>3.19999999488E-011+7.9999999872E-007j</v>
      </c>
      <c r="I59" s="145">
        <f t="shared" si="15"/>
        <v>1E-05</v>
      </c>
      <c r="J59" s="150" t="str">
        <f>IMDIV(IF($D$12,$D$52/$D$19,$D$53)/$D$21,COMPLEX(1,$B59*IF($D$12,$D$52,$D$53*$D$19)*$D$17,"j"))</f>
        <v>2.48679598580102E-013-1.24999999999505E-007j</v>
      </c>
      <c r="K59" s="140" t="str">
        <f>IMSUM(IF($D$9,$H59,0),IF($D$7,$I59,0),IF($D$8,$J59,0))</f>
        <v>1.00000322486795E-005+6.74999998720495E-007j</v>
      </c>
      <c r="L59" s="139" t="str">
        <f>IMPRODUCT($D$22,$K59)</f>
        <v>4.0000128994718E-006+2.69999999488198E-007j</v>
      </c>
      <c r="M59" s="377">
        <f>IMABS($L59)</f>
        <v>4.009115014022973E-06</v>
      </c>
      <c r="N59" s="141">
        <f t="shared" si="23"/>
        <v>249431.60685144408</v>
      </c>
      <c r="O59" s="498">
        <f t="shared" si="24"/>
        <v>4962.2841492202</v>
      </c>
      <c r="P59" s="141">
        <f t="shared" si="25"/>
        <v>498.8632137028882</v>
      </c>
      <c r="Q59" s="141">
        <f t="shared" si="26"/>
        <v>25075.600117043017</v>
      </c>
      <c r="R59" s="141">
        <f t="shared" si="27"/>
        <v>1260437.1377929233</v>
      </c>
      <c r="S59" s="119" t="str">
        <f>IMDIV(1/$D$37,COMPLEX(1-$B59*$B59*$D$40*$D$40,$B59*2*$D$26*$D$40,"j"))</f>
        <v>5.19910154412619E-003-1.70742251038627E-005j</v>
      </c>
      <c r="T59" s="111">
        <f>IMABS($S59)</f>
        <v>0.0051991295805450186</v>
      </c>
      <c r="U59" s="111">
        <f t="shared" si="28"/>
        <v>1.0398259161090037E-05</v>
      </c>
      <c r="V59" s="143">
        <f t="shared" si="29"/>
        <v>0.02627243632127026</v>
      </c>
      <c r="W59" s="144">
        <f t="shared" si="30"/>
        <v>0.0005226735134496516</v>
      </c>
      <c r="X59" s="22" t="str">
        <f>IMPRODUCT(IMDIV($D$28,COMPLEX(1,$B59*$D$29,"j")),$AW59)</f>
        <v>5000000000</v>
      </c>
      <c r="Y59" s="124">
        <f>IMABS($X59)</f>
        <v>5000000000</v>
      </c>
      <c r="Z59" s="111" t="str">
        <f>IMPRODUCT($S59,$X59)</f>
        <v>25995507.7206309-85371.1255193135j</v>
      </c>
      <c r="AA59" s="197">
        <f>IMABS($Z59)</f>
        <v>25995647.902725045</v>
      </c>
      <c r="AB59" s="111">
        <f t="shared" si="31"/>
        <v>51991.29580545009</v>
      </c>
      <c r="AC59" s="111">
        <f t="shared" si="32"/>
        <v>131362181.60635106</v>
      </c>
      <c r="AD59" s="145">
        <f t="shared" si="33"/>
        <v>2613367.567248253</v>
      </c>
      <c r="AE59" s="119" t="str">
        <f>IMPRODUCT($L59,$Z59)</f>
        <v>104.005416414689+6.67730146794611j</v>
      </c>
      <c r="AF59" s="141">
        <f>IMABS($AE59)</f>
        <v>104.2195423060699</v>
      </c>
      <c r="AG59" s="111">
        <f t="shared" si="21"/>
        <v>103.2195423060699</v>
      </c>
      <c r="AH59" s="106">
        <f>IF(AND(IMREAL(AE59)&lt;0,IMAGINARY(AE59)&gt;0),180/PI()*IMARGUMENT($AE59)-360,180/PI()*IMARGUMENT($AE59))</f>
        <v>3.673432183854985</v>
      </c>
      <c r="AI59" s="111" t="str">
        <f>IMDIV($Z59,IMSUM(1,IMPRODUCT($Z59,$L59)))</f>
        <v>246514.961980578-16488.9193542658j</v>
      </c>
      <c r="AJ59" s="141">
        <f>IMABS($AI59)</f>
        <v>247065.80285777574</v>
      </c>
      <c r="AK59" s="147">
        <f>180/PI()*IMARGUMENT($AI59)</f>
        <v>-3.8267061514713787</v>
      </c>
      <c r="AL59" s="144">
        <f t="shared" si="34"/>
        <v>4915.217974222842</v>
      </c>
      <c r="AM59" s="146">
        <f t="shared" si="35"/>
        <v>494.1316057155515</v>
      </c>
      <c r="AN59" s="119" t="str">
        <f>IMPRODUCT($AI59,COMPLEX(0,$B59,"j"),$D$24)</f>
        <v>1657.64697308787+24782.3869938608j</v>
      </c>
      <c r="AO59" s="142">
        <f>IMABS(AN59)</f>
        <v>24837.763558760045</v>
      </c>
      <c r="AP59" s="132">
        <f>180/PI()*IMARGUMENT($AN59)</f>
        <v>86.17329384852862</v>
      </c>
      <c r="AQ59" s="133">
        <f t="shared" si="36"/>
        <v>1248482.1684448149</v>
      </c>
      <c r="AR59" s="133">
        <f t="shared" si="16"/>
        <v>9.686768642323279E-07</v>
      </c>
      <c r="AS59" s="779">
        <f t="shared" si="17"/>
        <v>0.30970080021241003</v>
      </c>
      <c r="AT59" s="143">
        <f t="shared" si="18"/>
        <v>40000.00000000001</v>
      </c>
      <c r="AU59" s="120">
        <f t="shared" si="19"/>
        <v>500</v>
      </c>
      <c r="AV59" s="130">
        <f t="shared" si="20"/>
        <v>6250.000000000001</v>
      </c>
      <c r="AW59" s="582" t="str">
        <f>IF($D$10,IMDIV(COMPLEX(1,$B59/$D$49,"j"),COMPLEX(1,$B59/$D$50,"j")),COMPLEX(1,0,"j"))</f>
        <v>1</v>
      </c>
      <c r="AX59" s="149">
        <f>IMABS(AW59)</f>
        <v>1</v>
      </c>
      <c r="AY59" s="111"/>
    </row>
    <row r="60" spans="1:51" ht="18" customHeight="1" thickBot="1">
      <c r="A60" s="118">
        <v>9</v>
      </c>
      <c r="B60" s="130">
        <f t="shared" si="37"/>
        <v>56.548667764616276</v>
      </c>
      <c r="C60" s="185" t="s">
        <v>622</v>
      </c>
      <c r="D60" s="288">
        <v>500</v>
      </c>
      <c r="E60" s="3" t="s">
        <v>800</v>
      </c>
      <c r="F60" s="762"/>
      <c r="G60" s="763"/>
      <c r="H60" s="139" t="str">
        <f>IMDIV(COMPLEX(0,$D$15*$D$23*$B60,"j"),COMPLEX(1,$B60*$D$16*$D$15*$D$23,"j"))</f>
        <v>4.04999999179875E-011+8.999999981775E-007j</v>
      </c>
      <c r="I60" s="145">
        <f t="shared" si="15"/>
        <v>1E-05</v>
      </c>
      <c r="J60" s="150" t="str">
        <f>IMDIV(IF($D$12,$D$52/$D$19,$D$53)/$D$21,COMPLEX(1,$B60*IF($D$12,$D$52,$D$53*$D$19)*$D$17,"j"))</f>
        <v>1.96487584063454E-013-1.11111111110764E-007j</v>
      </c>
      <c r="K60" s="140" t="str">
        <f>IMSUM(IF($D$9,$H60,0),IF($D$7,$I60,0),IF($D$8,$J60,0))</f>
        <v>1.00000406964875E-005+7.88888887066736E-007j</v>
      </c>
      <c r="L60" s="139" t="str">
        <f>IMPRODUCT($D$22,$K60)</f>
        <v>4.000016278595E-006+3.15555554826694E-007j</v>
      </c>
      <c r="M60" s="377">
        <f>IMABS($L60)</f>
        <v>4.0124438360190134E-06</v>
      </c>
      <c r="N60" s="141">
        <f t="shared" si="23"/>
        <v>249224.67226162102</v>
      </c>
      <c r="O60" s="498">
        <f t="shared" si="24"/>
        <v>4407.259836766062</v>
      </c>
      <c r="P60" s="141">
        <f t="shared" si="25"/>
        <v>498.449344523242</v>
      </c>
      <c r="Q60" s="141">
        <f t="shared" si="26"/>
        <v>28186.64638093557</v>
      </c>
      <c r="R60" s="141">
        <f t="shared" si="27"/>
        <v>1593917.3015942492</v>
      </c>
      <c r="S60" s="119" t="str">
        <f>IMDIV(1/$D$37,COMPLEX(1-$B60*$B60*$D$40*$D$40,$B60*2*$D$26*$D$40,"j"))</f>
        <v>5.23562324965401E-003-1.94793754637809E-005j</v>
      </c>
      <c r="T60" s="111">
        <f>IMABS($S60)</f>
        <v>0.005235659486481725</v>
      </c>
      <c r="U60" s="111">
        <f t="shared" si="28"/>
        <v>1.047131897296345E-05</v>
      </c>
      <c r="V60" s="143">
        <f t="shared" si="29"/>
        <v>0.03348467936592966</v>
      </c>
      <c r="W60" s="144">
        <f t="shared" si="30"/>
        <v>0.000592139137659433</v>
      </c>
      <c r="X60" s="22" t="str">
        <f>IMPRODUCT(IMDIV($D$28,COMPLEX(1,$B60*$D$29,"j")),$AW60)</f>
        <v>5000000000</v>
      </c>
      <c r="Y60" s="124">
        <f>IMABS($X60)</f>
        <v>5000000000</v>
      </c>
      <c r="Z60" s="111" t="str">
        <f>IMPRODUCT($S60,$X60)</f>
        <v>26178116.2482701-97396.8773189045j</v>
      </c>
      <c r="AA60" s="197">
        <f>IMABS($Z60)</f>
        <v>26178297.432408676</v>
      </c>
      <c r="AB60" s="111">
        <f t="shared" si="31"/>
        <v>52356.59486481735</v>
      </c>
      <c r="AC60" s="111">
        <f t="shared" si="32"/>
        <v>167423396.82964864</v>
      </c>
      <c r="AD60" s="145">
        <f t="shared" si="33"/>
        <v>2960695.688297171</v>
      </c>
      <c r="AE60" s="119" t="str">
        <f>IMPRODUCT($L60,$Z60)</f>
        <v>104.743625261693+7.87106090228063j</v>
      </c>
      <c r="AF60" s="141">
        <f>IMABS($AE60)</f>
        <v>105.0389481701401</v>
      </c>
      <c r="AG60" s="111">
        <f t="shared" si="21"/>
        <v>104.0389481701401</v>
      </c>
      <c r="AH60" s="106">
        <f>IF(AND(IMREAL(AE60)&lt;0,IMAGINARY(AE60)&gt;0),180/PI()*IMARGUMENT($AE60)-360,180/PI()*IMARGUMENT($AE60))</f>
        <v>4.29746969372495</v>
      </c>
      <c r="AI60" s="111" t="str">
        <f>IMDIV($Z60,IMSUM(1,IMPRODUCT($Z60,$L60)))</f>
        <v>246129.850739622-19241.8211246707j</v>
      </c>
      <c r="AJ60" s="141">
        <f>IMABS($AI60)</f>
        <v>246880.84394157122</v>
      </c>
      <c r="AK60" s="147">
        <f>180/PI()*IMARGUMENT($AI60)</f>
        <v>-4.470149921178269</v>
      </c>
      <c r="AL60" s="144">
        <f t="shared" si="34"/>
        <v>4365.811851999984</v>
      </c>
      <c r="AM60" s="146">
        <f t="shared" si="35"/>
        <v>493.76168788314243</v>
      </c>
      <c r="AN60" s="119" t="str">
        <f>IMPRODUCT($AI60,COMPLEX(0,$B60,"j"),$D$24)</f>
        <v>2176.19869993036+27836.630312859j</v>
      </c>
      <c r="AO60" s="142">
        <f>IMABS(AN60)</f>
        <v>27921.565643000024</v>
      </c>
      <c r="AP60" s="132">
        <f>180/PI()*IMARGUMENT($AN60)</f>
        <v>85.52985007882172</v>
      </c>
      <c r="AQ60" s="133">
        <f t="shared" si="36"/>
        <v>1578927.3390139302</v>
      </c>
      <c r="AR60" s="133">
        <f t="shared" si="16"/>
        <v>9.679449894985893E-07</v>
      </c>
      <c r="AS60" s="779">
        <f t="shared" si="17"/>
        <v>0.3099349686756524</v>
      </c>
      <c r="AT60" s="143">
        <f t="shared" si="18"/>
        <v>45000.00000000001</v>
      </c>
      <c r="AU60" s="120">
        <f t="shared" si="19"/>
        <v>500</v>
      </c>
      <c r="AV60" s="130">
        <f t="shared" si="20"/>
        <v>5555.555555555555</v>
      </c>
      <c r="AW60" s="582" t="str">
        <f>IF($D$10,IMDIV(COMPLEX(1,$B60/$D$49,"j"),COMPLEX(1,$B60/$D$50,"j")),COMPLEX(1,0,"j"))</f>
        <v>1</v>
      </c>
      <c r="AX60" s="149">
        <f>IMABS(AW60)</f>
        <v>1</v>
      </c>
      <c r="AY60" s="111"/>
    </row>
    <row r="61" spans="1:51" ht="15" customHeight="1">
      <c r="A61" s="118">
        <v>10</v>
      </c>
      <c r="B61" s="130">
        <f t="shared" si="37"/>
        <v>62.83185307179586</v>
      </c>
      <c r="C61" s="201" t="s">
        <v>47</v>
      </c>
      <c r="D61" s="287">
        <f>$D$60*$D$23*$D$22/$D$24</f>
        <v>1000000</v>
      </c>
      <c r="E61" s="3" t="s">
        <v>57</v>
      </c>
      <c r="F61" s="762"/>
      <c r="G61" s="763"/>
      <c r="H61" s="139" t="str">
        <f>IMDIV(COMPLEX(0,$D$15*$D$23*$B61,"j"),COMPLEX(1,$B61*$D$16*$D$15*$D$23,"j"))</f>
        <v>4.9999999875E-011+9.999999975E-007j</v>
      </c>
      <c r="I61" s="145">
        <f t="shared" si="15"/>
        <v>1E-05</v>
      </c>
      <c r="J61" s="150" t="str">
        <f>IMDIV(IF($D$12,$D$52/$D$19,$D$53)/$D$21,COMPLEX(1,$B61*IF($D$12,$D$52,$D$53*$D$19)*$D$17,"j"))</f>
        <v>1.59154943091492E-013-9.99999999997466E-008j</v>
      </c>
      <c r="K61" s="140" t="str">
        <f>IMSUM(IF($D$9,$H61,0),IF($D$7,$I61,0),IF($D$8,$J61,0))</f>
        <v>1.00000501591548E-005+8.99999997500253E-007j</v>
      </c>
      <c r="L61" s="139" t="str">
        <f>IMPRODUCT($D$22,$K61)</f>
        <v>4.00002006366192E-006+3.59999999000101E-007j</v>
      </c>
      <c r="M61" s="377">
        <f>IMABS($L61)</f>
        <v>4.016187309996632E-06</v>
      </c>
      <c r="N61" s="141">
        <f t="shared" si="23"/>
        <v>248992.37082665815</v>
      </c>
      <c r="O61" s="498">
        <f t="shared" si="24"/>
        <v>3962.836660923288</v>
      </c>
      <c r="P61" s="141">
        <f t="shared" si="25"/>
        <v>497.9847416533163</v>
      </c>
      <c r="Q61" s="141">
        <f t="shared" si="26"/>
        <v>31289.30411955739</v>
      </c>
      <c r="R61" s="141">
        <f t="shared" si="27"/>
        <v>1965964.959158767</v>
      </c>
      <c r="S61" s="119" t="str">
        <f>IMDIV(1/$D$37,COMPLEX(1-$B61*$B61*$D$40*$D$40,$B61*2*$D$26*$D$40,"j"))</f>
        <v>5.27705336586194E-003-2.19877223577581E-005j</v>
      </c>
      <c r="T61" s="111">
        <f>IMABS($S61)</f>
        <v>0.0052770991734180355</v>
      </c>
      <c r="U61" s="111">
        <f t="shared" si="28"/>
        <v>1.0554198346836071E-05</v>
      </c>
      <c r="V61" s="143">
        <f t="shared" si="29"/>
        <v>0.041666304981561327</v>
      </c>
      <c r="W61" s="144">
        <f t="shared" si="30"/>
        <v>0.0006631398398189948</v>
      </c>
      <c r="X61" s="22" t="str">
        <f>IMPRODUCT(IMDIV($D$28,COMPLEX(1,$B61*$D$29,"j")),$AW61)</f>
        <v>5000000000</v>
      </c>
      <c r="Y61" s="124">
        <f>IMABS($X61)</f>
        <v>5000000000</v>
      </c>
      <c r="Z61" s="111" t="str">
        <f>IMPRODUCT($S61,$X61)</f>
        <v>26385266.8293097-109938.611788791j</v>
      </c>
      <c r="AA61" s="197">
        <f>IMABS($Z61)</f>
        <v>26385495.867090173</v>
      </c>
      <c r="AB61" s="111">
        <f t="shared" si="31"/>
        <v>52770.991734180345</v>
      </c>
      <c r="AC61" s="111">
        <f t="shared" si="32"/>
        <v>208331524.9078066</v>
      </c>
      <c r="AD61" s="145">
        <f t="shared" si="33"/>
        <v>3315699.1990949735</v>
      </c>
      <c r="AE61" s="119" t="str">
        <f>IMPRODUCT($L61,$Z61)</f>
        <v>105.581174602446+9.05893937924259j</v>
      </c>
      <c r="AF61" s="141">
        <f>IMABS($AE61)</f>
        <v>105.96909366937597</v>
      </c>
      <c r="AG61" s="111">
        <f t="shared" si="21"/>
        <v>104.96909366937597</v>
      </c>
      <c r="AH61" s="106">
        <f>IF(AND(IMREAL(AE61)&lt;0,IMAGINARY(AE61)&gt;0),180/PI()*IMARGUMENT($AE61)-360,180/PI()*IMARGUMENT($AE61))</f>
        <v>4.9040078533592935</v>
      </c>
      <c r="AI61" s="111" t="str">
        <f>IMDIV($Z61,IMSUM(1,IMPRODUCT($Z61,$L61)))</f>
        <v>245697.635041693-21914.7387141026j</v>
      </c>
      <c r="AJ61" s="141">
        <f>IMABS($AI61)</f>
        <v>246673.0298147496</v>
      </c>
      <c r="AK61" s="147">
        <f>180/PI()*IMARGUMENT($AI61)</f>
        <v>-5.096948193063322</v>
      </c>
      <c r="AL61" s="144">
        <f t="shared" si="34"/>
        <v>3925.923202247188</v>
      </c>
      <c r="AM61" s="146">
        <f t="shared" si="35"/>
        <v>493.3460596294992</v>
      </c>
      <c r="AN61" s="119" t="str">
        <f>IMPRODUCT($AI61,COMPLEX(0,$B61,"j"),$D$24)</f>
        <v>2753.88728598258+30875.2754100548j</v>
      </c>
      <c r="AO61" s="142">
        <f>IMABS(AN61)</f>
        <v>30997.84713219018</v>
      </c>
      <c r="AP61" s="132">
        <f>180/PI()*IMARGUMENT($AN61)</f>
        <v>84.9030518069367</v>
      </c>
      <c r="AQ61" s="133">
        <f t="shared" si="36"/>
        <v>1947652.1765517592</v>
      </c>
      <c r="AR61" s="133">
        <f t="shared" si="16"/>
        <v>9.671228262944922E-07</v>
      </c>
      <c r="AS61" s="779">
        <f t="shared" si="17"/>
        <v>0.3101984482668481</v>
      </c>
      <c r="AT61" s="143">
        <f t="shared" si="18"/>
        <v>50000.00000000001</v>
      </c>
      <c r="AU61" s="120">
        <f t="shared" si="19"/>
        <v>500</v>
      </c>
      <c r="AV61" s="130">
        <f t="shared" si="20"/>
        <v>5000</v>
      </c>
      <c r="AW61" s="582" t="str">
        <f>IF($D$10,IMDIV(COMPLEX(1,$B61/$D$49,"j"),COMPLEX(1,$B61/$D$50,"j")),COMPLEX(1,0,"j"))</f>
        <v>1</v>
      </c>
      <c r="AX61" s="149">
        <f>IMABS(AW61)</f>
        <v>1</v>
      </c>
      <c r="AY61" s="111"/>
    </row>
    <row r="62" spans="1:51" ht="15" customHeight="1">
      <c r="A62" s="118">
        <v>11</v>
      </c>
      <c r="B62" s="130">
        <f t="shared" si="37"/>
        <v>69.11503837897544</v>
      </c>
      <c r="C62" s="198" t="s">
        <v>631</v>
      </c>
      <c r="D62" s="534">
        <f>$D$24*$D$20/($D$60*$D$22)</f>
        <v>10</v>
      </c>
      <c r="E62" s="3" t="s">
        <v>411</v>
      </c>
      <c r="F62" s="762"/>
      <c r="G62" s="763"/>
      <c r="H62" s="139" t="str">
        <f>IMDIV(COMPLEX(0,$D$15*$D$23*$B62,"j"),COMPLEX(1,$B62*$D$16*$D$15*$D$23,"j"))</f>
        <v>6.04999998169875E-011+1.0999999966725E-006j</v>
      </c>
      <c r="I62" s="145">
        <f t="shared" si="15"/>
        <v>1E-05</v>
      </c>
      <c r="J62" s="150" t="str">
        <f>IMDIV(IF($D$12,$D$52/$D$19,$D$53)/$D$21,COMPLEX(1,$B62*IF($D$12,$D$52,$D$53*$D$19)*$D$17,"j"))</f>
        <v>1.31533010819473E-013-9.09090909089007E-008j</v>
      </c>
      <c r="K62" s="140" t="str">
        <f>IMSUM(IF($D$9,$H62,0),IF($D$7,$I62,0),IF($D$8,$J62,0))</f>
        <v>1.00000606315328E-005+1.0090909057636E-006j</v>
      </c>
      <c r="L62" s="139" t="str">
        <f>IMPRODUCT($D$22,$K62)</f>
        <v>4.00002425261312E-006+4.0363636230544E-007j</v>
      </c>
      <c r="M62" s="377">
        <f>IMABS($L62)</f>
        <v>4.020337838349946E-06</v>
      </c>
      <c r="N62" s="141">
        <f t="shared" si="23"/>
        <v>248735.31534116712</v>
      </c>
      <c r="O62" s="498">
        <f t="shared" si="24"/>
        <v>3598.8595416425546</v>
      </c>
      <c r="P62" s="141">
        <f t="shared" si="25"/>
        <v>497.4706306823343</v>
      </c>
      <c r="Q62" s="141">
        <f t="shared" si="26"/>
        <v>34382.70173202265</v>
      </c>
      <c r="R62" s="141">
        <f t="shared" si="27"/>
        <v>2376361.749781611</v>
      </c>
      <c r="S62" s="119" t="str">
        <f>IMDIV(1/$D$37,COMPLEX(1-$B62*$B62*$D$40*$D$40,$B62*2*$D$26*$D$40,"j"))</f>
        <v>5.32361378192938E-003-2.46152802022796E-005j</v>
      </c>
      <c r="T62" s="111">
        <f>IMABS($S62)</f>
        <v>0.005323670689587014</v>
      </c>
      <c r="U62" s="111">
        <f t="shared" si="28"/>
        <v>1.0647341379174029E-05</v>
      </c>
      <c r="V62" s="143">
        <f t="shared" si="29"/>
        <v>0.050861162910525656</v>
      </c>
      <c r="W62" s="144">
        <f t="shared" si="30"/>
        <v>0.0007358914080556663</v>
      </c>
      <c r="X62" s="22" t="str">
        <f>IMPRODUCT(IMDIV($D$28,COMPLEX(1,$B62*$D$29,"j")),$AW62)</f>
        <v>5000000000</v>
      </c>
      <c r="Y62" s="124">
        <f>IMABS($X62)</f>
        <v>5000000000</v>
      </c>
      <c r="Z62" s="111" t="str">
        <f>IMPRODUCT($S62,$X62)</f>
        <v>26618068.9096469-123076.401011398j</v>
      </c>
      <c r="AA62" s="197">
        <f>IMABS($Z62)</f>
        <v>26618353.447935067</v>
      </c>
      <c r="AB62" s="111">
        <f t="shared" si="31"/>
        <v>53236.706895870135</v>
      </c>
      <c r="AC62" s="111">
        <f t="shared" si="32"/>
        <v>254305814.55262822</v>
      </c>
      <c r="AD62" s="145">
        <f t="shared" si="33"/>
        <v>3679457.040278331</v>
      </c>
      <c r="AE62" s="119" t="str">
        <f>IMPRODUCT($L62,$Z62)</f>
        <v>106.522599307105+10.2517119173155j</v>
      </c>
      <c r="AF62" s="141">
        <f>IMABS($AE62)</f>
        <v>107.01477356130636</v>
      </c>
      <c r="AG62" s="111">
        <f t="shared" si="21"/>
        <v>106.01477356130636</v>
      </c>
      <c r="AH62" s="106">
        <f>IF(AND(IMREAL(AE62)&lt;0,IMAGINARY(AE62)&gt;0),180/PI()*IMARGUMENT($AE62)-360,180/PI()*IMARGUMENT($AE62))</f>
        <v>5.497203269510218</v>
      </c>
      <c r="AI62" s="111" t="str">
        <f>IMDIV($Z62,IMSUM(1,IMPRODUCT($Z62,$L62)))</f>
        <v>245219.566560912-24525.0465565018j</v>
      </c>
      <c r="AJ62" s="141">
        <f>IMABS($AI62)</f>
        <v>246442.92185599514</v>
      </c>
      <c r="AK62" s="147">
        <f>180/PI()*IMARGUMENT($AI62)</f>
        <v>-5.711307946608979</v>
      </c>
      <c r="AL62" s="144">
        <f t="shared" si="34"/>
        <v>3565.6917457628474</v>
      </c>
      <c r="AM62" s="146">
        <f t="shared" si="35"/>
        <v>492.8858437119903</v>
      </c>
      <c r="AN62" s="119" t="str">
        <f>IMPRODUCT($AI62,COMPLEX(0,$B62,"j"),$D$24)</f>
        <v>3390.09906799756+33896.7195082663j</v>
      </c>
      <c r="AO62" s="142">
        <f>IMABS(AN62)</f>
        <v>34065.824004607886</v>
      </c>
      <c r="AP62" s="132">
        <f>180/PI()*IMARGUMENT($AN62)</f>
        <v>84.28869205339102</v>
      </c>
      <c r="AQ62" s="133">
        <f t="shared" si="36"/>
        <v>2354460.733489898</v>
      </c>
      <c r="AR62" s="133">
        <f t="shared" si="16"/>
        <v>9.662126462675854E-07</v>
      </c>
      <c r="AS62" s="779">
        <f t="shared" si="17"/>
        <v>0.3104906576817017</v>
      </c>
      <c r="AT62" s="143">
        <f t="shared" si="18"/>
        <v>55000</v>
      </c>
      <c r="AU62" s="120">
        <f t="shared" si="19"/>
        <v>500</v>
      </c>
      <c r="AV62" s="130">
        <f t="shared" si="20"/>
        <v>4545.454545454546</v>
      </c>
      <c r="AW62" s="582" t="str">
        <f>IF($D$10,IMDIV(COMPLEX(1,$B62/$D$49,"j"),COMPLEX(1,$B62/$D$50,"j")),COMPLEX(1,0,"j"))</f>
        <v>1</v>
      </c>
      <c r="AX62" s="149">
        <f>IMABS(AW62)</f>
        <v>1</v>
      </c>
      <c r="AY62" s="111"/>
    </row>
    <row r="63" spans="1:51" ht="15" customHeight="1">
      <c r="A63" s="118">
        <v>12</v>
      </c>
      <c r="B63" s="130">
        <f t="shared" si="37"/>
        <v>75.39822368615503</v>
      </c>
      <c r="C63" s="204" t="s">
        <v>422</v>
      </c>
      <c r="D63" s="523">
        <f>$D$60*$D$23*$D$22/$D$20</f>
        <v>0.002</v>
      </c>
      <c r="E63" s="3" t="s">
        <v>566</v>
      </c>
      <c r="F63" s="762"/>
      <c r="G63" s="763"/>
      <c r="H63" s="139" t="str">
        <f>IMDIV(COMPLEX(0,$D$15*$D$23*$B63,"j"),COMPLEX(1,$B63*$D$16*$D$15*$D$23,"j"))</f>
        <v>7.19999997408E-011+1.19999999568E-006j</v>
      </c>
      <c r="I63" s="145">
        <f t="shared" si="15"/>
        <v>1E-05</v>
      </c>
      <c r="J63" s="150" t="str">
        <f>IMDIV(IF($D$12,$D$52/$D$19,$D$53)/$D$21,COMPLEX(1,$B63*IF($D$12,$D$52,$D$53*$D$19)*$D$17,"j"))</f>
        <v>1.10524266035844E-013-8.33333333331868E-008j</v>
      </c>
      <c r="K63" s="140" t="str">
        <f>IMSUM(IF($D$9,$H63,0),IF($D$7,$I63,0),IF($D$8,$J63,0))</f>
        <v>1.0000072110524E-005+1.11666666234681E-006j</v>
      </c>
      <c r="L63" s="139" t="str">
        <f>IMPRODUCT($D$22,$K63)</f>
        <v>4.0000288442096E-006+4.46666664938724E-007j</v>
      </c>
      <c r="M63" s="377">
        <f>IMABS($L63)</f>
        <v>4.02489029217894E-06</v>
      </c>
      <c r="N63" s="141">
        <f t="shared" si="23"/>
        <v>248453.9769799871</v>
      </c>
      <c r="O63" s="498">
        <f t="shared" si="24"/>
        <v>3295.223213933744</v>
      </c>
      <c r="P63" s="141">
        <f t="shared" si="25"/>
        <v>496.90795395997424</v>
      </c>
      <c r="Q63" s="141">
        <f t="shared" si="26"/>
        <v>37465.97706410377</v>
      </c>
      <c r="R63" s="141">
        <f t="shared" si="27"/>
        <v>2824868.11929965</v>
      </c>
      <c r="S63" s="119" t="str">
        <f>IMDIV(1/$D$37,COMPLEX(1-$B63*$B63*$D$40*$D$40,$B63*2*$D$26*$D$40,"j"))</f>
        <v>5.37556001618995E-003-2.73797623914598E-005j</v>
      </c>
      <c r="T63" s="111">
        <f>IMABS($S63)</f>
        <v>0.005375629743485754</v>
      </c>
      <c r="U63" s="111">
        <f t="shared" si="28"/>
        <v>1.0751259486971507E-05</v>
      </c>
      <c r="V63" s="143">
        <f t="shared" si="29"/>
        <v>0.0611197504991238</v>
      </c>
      <c r="W63" s="144">
        <f t="shared" si="30"/>
        <v>0.0008106258677065742</v>
      </c>
      <c r="X63" s="22" t="str">
        <f>IMPRODUCT(IMDIV($D$28,COMPLEX(1,$B63*$D$29,"j")),$AW63)</f>
        <v>5000000000</v>
      </c>
      <c r="Y63" s="124">
        <f>IMABS($X63)</f>
        <v>5000000000</v>
      </c>
      <c r="Z63" s="111" t="str">
        <f>IMPRODUCT($S63,$X63)</f>
        <v>26877800.0809498-136898.811957299j</v>
      </c>
      <c r="AA63" s="197">
        <f>IMABS($Z63)</f>
        <v>26878148.717428815</v>
      </c>
      <c r="AB63" s="111">
        <f t="shared" si="31"/>
        <v>53756.29743485763</v>
      </c>
      <c r="AC63" s="111">
        <f t="shared" si="32"/>
        <v>305598752.4956195</v>
      </c>
      <c r="AD63" s="145">
        <f t="shared" si="33"/>
        <v>4053129.3385328776</v>
      </c>
      <c r="AE63" s="119" t="str">
        <f>IMPRODUCT($L63,$Z63)</f>
        <v>107.573123728469+11.4578181264804j</v>
      </c>
      <c r="AF63" s="141">
        <f>IMABS($AE63)</f>
        <v>108.18159984452069</v>
      </c>
      <c r="AG63" s="111">
        <f t="shared" si="21"/>
        <v>107.18159984452069</v>
      </c>
      <c r="AH63" s="106">
        <f>IF(AND(IMREAL(AE63)&lt;0,IMAGINARY(AE63)&gt;0),180/PI()*IMARGUMENT($AE63)-360,180/PI()*IMARGUMENT($AE63))</f>
        <v>6.079760464890519</v>
      </c>
      <c r="AI63" s="111" t="str">
        <f>IMDIV($Z63,IMSUM(1,IMPRODUCT($Z63,$L63)))</f>
        <v>244696.627294193-27083.9427169053j</v>
      </c>
      <c r="AJ63" s="141">
        <f>IMABS($AI63)</f>
        <v>246190.94086144964</v>
      </c>
      <c r="AK63" s="147">
        <f>180/PI()*IMARGUMENT($AI63)</f>
        <v>-6.31600378853689</v>
      </c>
      <c r="AL63" s="144">
        <f t="shared" si="34"/>
        <v>3265.208765212016</v>
      </c>
      <c r="AM63" s="146">
        <f t="shared" si="35"/>
        <v>492.38188172289927</v>
      </c>
      <c r="AN63" s="119" t="str">
        <f>IMPRODUCT($AI63,COMPLEX(0,$B63,"j"),$D$24)</f>
        <v>4084.16234254447+36899.3820799505j</v>
      </c>
      <c r="AO63" s="142">
        <f>IMABS(AN63)</f>
        <v>37124.71925715305</v>
      </c>
      <c r="AP63" s="132">
        <f>180/PI()*IMARGUMENT($AN63)</f>
        <v>83.68399621146311</v>
      </c>
      <c r="AQ63" s="133">
        <f t="shared" si="36"/>
        <v>2799137.886836536</v>
      </c>
      <c r="AR63" s="133">
        <f t="shared" si="16"/>
        <v>9.652161686709652E-07</v>
      </c>
      <c r="AS63" s="779">
        <f t="shared" si="17"/>
        <v>0.3108112045129527</v>
      </c>
      <c r="AT63" s="143">
        <f t="shared" si="18"/>
        <v>60000</v>
      </c>
      <c r="AU63" s="120">
        <f t="shared" si="19"/>
        <v>500</v>
      </c>
      <c r="AV63" s="130">
        <f t="shared" si="20"/>
        <v>4166.666666666667</v>
      </c>
      <c r="AW63" s="582" t="str">
        <f>IF($D$10,IMDIV(COMPLEX(1,$B63/$D$49,"j"),COMPLEX(1,$B63/$D$50,"j")),COMPLEX(1,0,"j"))</f>
        <v>1</v>
      </c>
      <c r="AX63" s="149">
        <f>IMABS(AW63)</f>
        <v>1</v>
      </c>
      <c r="AY63" s="111"/>
    </row>
    <row r="64" spans="1:51" ht="15" customHeight="1" thickBot="1">
      <c r="A64" s="118">
        <v>13</v>
      </c>
      <c r="B64" s="130">
        <f t="shared" si="37"/>
        <v>81.68140899333463</v>
      </c>
      <c r="C64" s="204" t="s">
        <v>332</v>
      </c>
      <c r="D64" s="233">
        <f>$D$24*$D$20/($D$23*$D$60)</f>
        <v>0.4</v>
      </c>
      <c r="E64" s="179" t="s">
        <v>327</v>
      </c>
      <c r="F64" s="764"/>
      <c r="G64" s="765"/>
      <c r="H64" s="139" t="str">
        <f>IMDIV(COMPLEX(0,$D$15*$D$23*$B64,"j"),COMPLEX(1,$B64*$D$16*$D$15*$D$23,"j"))</f>
        <v>8.44999996429875E-011+1.2999999945075E-006j</v>
      </c>
      <c r="I64" s="145">
        <f t="shared" si="15"/>
        <v>1E-05</v>
      </c>
      <c r="J64" s="150" t="str">
        <f>IMDIV(IF($D$12,$D$52/$D$19,$D$53)/$D$21,COMPLEX(1,$B64*IF($D$12,$D$52,$D$53*$D$19)*$D$17,"j"))</f>
        <v>9.41745225394419E-014-7.69230769229616E-008j</v>
      </c>
      <c r="K64" s="140" t="str">
        <f>IMSUM(IF($D$9,$H64,0),IF($D$7,$I64,0),IF($D$8,$J64,0))</f>
        <v>1.00000845941742E-005+1.22307691758454E-006j</v>
      </c>
      <c r="L64" s="139" t="str">
        <f>IMPRODUCT($D$22,$K64)</f>
        <v>4.00003383766968E-006+4.89230767033816E-007j</v>
      </c>
      <c r="M64" s="377">
        <f>IMABS($L64)</f>
        <v>4.029840871041303E-06</v>
      </c>
      <c r="N64" s="141">
        <f t="shared" si="23"/>
        <v>248148.75624148455</v>
      </c>
      <c r="O64" s="498">
        <f t="shared" si="24"/>
        <v>3038.0077829183138</v>
      </c>
      <c r="P64" s="141">
        <f t="shared" si="25"/>
        <v>496.2975124829691</v>
      </c>
      <c r="Q64" s="141">
        <f t="shared" si="26"/>
        <v>40538.280099496</v>
      </c>
      <c r="R64" s="141">
        <f t="shared" si="27"/>
        <v>3311223.8366932906</v>
      </c>
      <c r="S64" s="119" t="str">
        <f>IMDIV(1/$D$37,COMPLEX(1-$B64*$B64*$D$40*$D$40,$B64*2*$D$26*$D$40,"j"))</f>
        <v>5.43318491787155E-003-3.03009025878722E-005j</v>
      </c>
      <c r="T64" s="111">
        <f>IMABS($S64)</f>
        <v>0.005433269411365915</v>
      </c>
      <c r="U64" s="111">
        <f t="shared" si="28"/>
        <v>1.0866538822731832E-05</v>
      </c>
      <c r="V64" s="143">
        <f t="shared" si="29"/>
        <v>0.07249994502726312</v>
      </c>
      <c r="W64" s="144">
        <f t="shared" si="30"/>
        <v>0.0008875942019215077</v>
      </c>
      <c r="X64" s="22" t="str">
        <f>IMPRODUCT(IMDIV($D$28,COMPLEX(1,$B64*$D$29,"j")),$AW64)</f>
        <v>5000000000</v>
      </c>
      <c r="Y64" s="124">
        <f>IMABS($X64)</f>
        <v>5000000000</v>
      </c>
      <c r="Z64" s="111" t="str">
        <f>IMPRODUCT($S64,$X64)</f>
        <v>27165924.5893578-151504.512939361j</v>
      </c>
      <c r="AA64" s="197">
        <f>IMABS($Z64)</f>
        <v>27166347.056829624</v>
      </c>
      <c r="AB64" s="111">
        <f t="shared" si="31"/>
        <v>54332.69411365925</v>
      </c>
      <c r="AC64" s="111">
        <f t="shared" si="32"/>
        <v>362499725.1363162</v>
      </c>
      <c r="AD64" s="145">
        <f t="shared" si="33"/>
        <v>4437971.009607546</v>
      </c>
      <c r="AE64" s="119" t="str">
        <f>IMPRODUCT($L64,$Z64)</f>
        <v>108.738738258088+12.6843829457172j</v>
      </c>
      <c r="AF64" s="141">
        <f>IMABS($AE64)</f>
        <v>109.47605568650422</v>
      </c>
      <c r="AG64" s="111">
        <f t="shared" si="21"/>
        <v>108.47605568650422</v>
      </c>
      <c r="AH64" s="106">
        <f>IF(AND(IMREAL(AE64)&lt;0,IMAGINARY(AE64)&gt;0),180/PI()*IMARGUMENT($AE64)-360,180/PI()*IMARGUMENT($AE64))</f>
        <v>6.653487682699555</v>
      </c>
      <c r="AI64" s="111" t="str">
        <f>IMDIV($Z64,IMSUM(1,IMPRODUCT($Z64,$L64)))</f>
        <v>244129.667145221-29598.8340214074j</v>
      </c>
      <c r="AJ64" s="141">
        <f>IMABS($AI64)</f>
        <v>245917.43605499633</v>
      </c>
      <c r="AK64" s="147">
        <f>180/PI()*IMARGUMENT($AI64)</f>
        <v>-6.912929268349401</v>
      </c>
      <c r="AL64" s="144">
        <f t="shared" si="34"/>
        <v>3010.690426202904</v>
      </c>
      <c r="AM64" s="146">
        <f t="shared" si="35"/>
        <v>491.83487210999266</v>
      </c>
      <c r="AN64" s="119" t="str">
        <f>IMPRODUCT($AI64,COMPLEX(0,$B64,"j"),$D$24)</f>
        <v>4835.34893485681+39881.7103789909j</v>
      </c>
      <c r="AO64" s="142">
        <f>IMABS(AN64)</f>
        <v>40173.76534600076</v>
      </c>
      <c r="AP64" s="132">
        <f>180/PI()*IMARGUMENT($AN64)</f>
        <v>83.0870707316506</v>
      </c>
      <c r="AQ64" s="133">
        <f t="shared" si="36"/>
        <v>3281449.75802894</v>
      </c>
      <c r="AR64" s="133">
        <f t="shared" si="16"/>
        <v>9.641348333675996E-07</v>
      </c>
      <c r="AS64" s="779">
        <f t="shared" si="17"/>
        <v>0.3111597980047442</v>
      </c>
      <c r="AT64" s="143">
        <f t="shared" si="18"/>
        <v>65000.00000000001</v>
      </c>
      <c r="AU64" s="120">
        <f t="shared" si="19"/>
        <v>500</v>
      </c>
      <c r="AV64" s="130">
        <f t="shared" si="20"/>
        <v>3846.153846153846</v>
      </c>
      <c r="AW64" s="582" t="str">
        <f>IF($D$10,IMDIV(COMPLEX(1,$B64/$D$49,"j"),COMPLEX(1,$B64/$D$50,"j")),COMPLEX(1,0,"j"))</f>
        <v>1</v>
      </c>
      <c r="AX64" s="149">
        <f>IMABS(AW64)</f>
        <v>1</v>
      </c>
      <c r="AY64" s="111"/>
    </row>
    <row r="65" spans="1:51" ht="15" customHeight="1" thickBot="1">
      <c r="A65" s="118">
        <v>14</v>
      </c>
      <c r="B65" s="130">
        <f t="shared" si="37"/>
        <v>87.96459430051421</v>
      </c>
      <c r="C65" s="266" t="s">
        <v>385</v>
      </c>
      <c r="D65" s="237"/>
      <c r="E65" s="262"/>
      <c r="F65" s="225"/>
      <c r="G65" s="226"/>
      <c r="H65" s="139" t="str">
        <f>IMDIV(COMPLEX(0,$D$15*$D$23*$B65,"j"),COMPLEX(1,$B65*$D$16*$D$15*$D$23,"j"))</f>
        <v>9.79999995198E-011+1.39999999314E-006j</v>
      </c>
      <c r="I65" s="145">
        <f t="shared" si="15"/>
        <v>1E-05</v>
      </c>
      <c r="J65" s="150" t="str">
        <f>IMDIV(IF($D$12,$D$52/$D$19,$D$53)/$D$21,COMPLEX(1,$B65*IF($D$12,$D$52,$D$53*$D$19)*$D$17,"j"))</f>
        <v>8.12015015773927E-014-7.14285714284791E-008j</v>
      </c>
      <c r="K65" s="140" t="str">
        <f>IMSUM(IF($D$9,$H65,0),IF($D$7,$I65,0),IF($D$8,$J65,0))</f>
        <v>1.0000098081201E-005+1.32857142171152E-006j</v>
      </c>
      <c r="L65" s="139" t="str">
        <f>IMPRODUCT($D$22,$K65)</f>
        <v>4.0000392324804E-006+5.31428568684608E-007j</v>
      </c>
      <c r="M65" s="377">
        <f>IMABS($L65)</f>
        <v>4.035186511798005E-06</v>
      </c>
      <c r="N65" s="141">
        <f t="shared" si="23"/>
        <v>247820.0194901074</v>
      </c>
      <c r="O65" s="498">
        <f t="shared" si="24"/>
        <v>2817.2700784986027</v>
      </c>
      <c r="P65" s="141">
        <f t="shared" si="25"/>
        <v>495.6400389802148</v>
      </c>
      <c r="Q65" s="141">
        <f t="shared" si="26"/>
        <v>43598.77494798564</v>
      </c>
      <c r="R65" s="141">
        <f t="shared" si="27"/>
        <v>3835148.5502989795</v>
      </c>
      <c r="S65" s="119" t="str">
        <f>IMDIV(1/$D$37,COMPLEX(1-$B65*$B65*$D$40*$D$40,$B65*2*$D$26*$D$40,"j"))</f>
        <v>5.496823065802E-003-3.34008346012274E-005j</v>
      </c>
      <c r="T65" s="111">
        <f>IMABS($S65)</f>
        <v>0.005496924543095434</v>
      </c>
      <c r="U65" s="111">
        <f t="shared" si="28"/>
        <v>1.099384908619087E-05</v>
      </c>
      <c r="V65" s="143">
        <f t="shared" si="29"/>
        <v>0.0850678739995696</v>
      </c>
      <c r="W65" s="144">
        <f t="shared" si="30"/>
        <v>0.0009670694746678587</v>
      </c>
      <c r="X65" s="22" t="str">
        <f>IMPRODUCT(IMDIV($D$28,COMPLEX(1,$B65*$D$29,"j")),$AW65)</f>
        <v>5000000000</v>
      </c>
      <c r="Y65" s="124">
        <f>IMABS($X65)</f>
        <v>5000000000</v>
      </c>
      <c r="Z65" s="111" t="str">
        <f>IMPRODUCT($S65,$X65)</f>
        <v>27484115.32901-167004.173006137j</v>
      </c>
      <c r="AA65" s="197">
        <f>IMABS($Z65)</f>
        <v>27484622.715477172</v>
      </c>
      <c r="AB65" s="111">
        <f t="shared" si="31"/>
        <v>54969.24543095435</v>
      </c>
      <c r="AC65" s="111">
        <f t="shared" si="32"/>
        <v>425339369.997848</v>
      </c>
      <c r="AD65" s="145">
        <f t="shared" si="33"/>
        <v>4835347.3733392935</v>
      </c>
      <c r="AE65" s="119" t="str">
        <f>IMPRODUCT($L65,$Z65)</f>
        <v>110.026290374681+13.937820826846j</v>
      </c>
      <c r="AF65" s="141">
        <f>IMABS($AE65)</f>
        <v>110.90557886335063</v>
      </c>
      <c r="AG65" s="111">
        <f t="shared" si="21"/>
        <v>109.90557886335063</v>
      </c>
      <c r="AH65" s="106">
        <f>IF(AND(IMREAL(AE65)&lt;0,IMAGINARY(AE65)&gt;0),180/PI()*IMARGUMENT($AE65)-360,180/PI()*IMARGUMENT($AE65))</f>
        <v>7.219614007779051</v>
      </c>
      <c r="AI65" s="111" t="str">
        <f>IMDIV($Z65,IMSUM(1,IMPRODUCT($Z65,$L65)))</f>
        <v>243519.474650991-32074.7002040826j</v>
      </c>
      <c r="AJ65" s="141">
        <f>IMABS($AI65)</f>
        <v>245622.72070693382</v>
      </c>
      <c r="AK65" s="147">
        <f>180/PI()*IMARGUMENT($AI65)</f>
        <v>-7.503411988585885</v>
      </c>
      <c r="AL65" s="144">
        <f t="shared" si="34"/>
        <v>2792.290724013468</v>
      </c>
      <c r="AM65" s="146">
        <f t="shared" si="35"/>
        <v>491.24544141386764</v>
      </c>
      <c r="AN65" s="119" t="str">
        <f>IMPRODUCT($AI65,COMPLEX(0,$B65,"j"),$D$24)</f>
        <v>5642.87598152549+42842.1835838975j</v>
      </c>
      <c r="AO65" s="142">
        <f>IMABS(AN65)</f>
        <v>43212.20595594784</v>
      </c>
      <c r="AP65" s="132">
        <f>180/PI()*IMARGUMENT($AN65)</f>
        <v>82.4965880114141</v>
      </c>
      <c r="AQ65" s="133">
        <f t="shared" si="36"/>
        <v>3801144.1657452197</v>
      </c>
      <c r="AR65" s="133">
        <f t="shared" si="16"/>
        <v>9.62969941600786E-07</v>
      </c>
      <c r="AS65" s="779">
        <f t="shared" si="17"/>
        <v>0.3115362038209596</v>
      </c>
      <c r="AT65" s="143">
        <f t="shared" si="18"/>
        <v>70000</v>
      </c>
      <c r="AU65" s="120">
        <f t="shared" si="19"/>
        <v>500</v>
      </c>
      <c r="AV65" s="130">
        <f t="shared" si="20"/>
        <v>3571.428571428572</v>
      </c>
      <c r="AW65" s="582" t="str">
        <f>IF($D$10,IMDIV(COMPLEX(1,$B65/$D$49,"j"),COMPLEX(1,$B65/$D$50,"j")),COMPLEX(1,0,"j"))</f>
        <v>1</v>
      </c>
      <c r="AX65" s="149">
        <f>IMABS(AW65)</f>
        <v>1</v>
      </c>
      <c r="AY65" s="111"/>
    </row>
    <row r="66" spans="1:51" ht="15" customHeight="1" thickBot="1">
      <c r="A66" s="118">
        <v>15</v>
      </c>
      <c r="B66" s="130">
        <f t="shared" si="37"/>
        <v>94.24777960769379</v>
      </c>
      <c r="C66" s="235"/>
      <c r="D66" s="360" t="str">
        <f>IF(ABS($D$67/$D$45-1)&lt;0.005,"MATCHES","")</f>
        <v>MATCHES</v>
      </c>
      <c r="E66" s="18"/>
      <c r="F66" s="225"/>
      <c r="G66" s="226"/>
      <c r="H66" s="139" t="str">
        <f>IMDIV(COMPLEX(0,$D$15*$D$23*$B66,"j"),COMPLEX(1,$B66*$D$16*$D$15*$D$23,"j"))</f>
        <v>1.12499999367188E-010+1.4999999915625E-006j</v>
      </c>
      <c r="I66" s="145">
        <f t="shared" si="15"/>
        <v>1E-05</v>
      </c>
      <c r="J66" s="150" t="str">
        <f>IMDIV(IF($D$12,$D$52/$D$19,$D$53)/$D$21,COMPLEX(1,$B66*IF($D$12,$D$52,$D$53*$D$19)*$D$17,"j"))</f>
        <v>7.07355302629849E-014-6.66666666665916E-008j</v>
      </c>
      <c r="K66" s="140" t="str">
        <f>IMSUM(IF($D$9,$H66,0),IF($D$7,$I66,0),IF($D$8,$J66,0))</f>
        <v>1.00001125707349E-005+1.43333332489591E-006j</v>
      </c>
      <c r="L66" s="139" t="str">
        <f>IMPRODUCT($D$22,$K66)</f>
        <v>4.00004502829396E-006+5.73333329958364E-007j</v>
      </c>
      <c r="M66" s="377">
        <f>IMABS($L66)</f>
        <v>4.040924564455563E-06</v>
      </c>
      <c r="N66" s="141">
        <f t="shared" si="23"/>
        <v>247468.11875582015</v>
      </c>
      <c r="O66" s="498">
        <f t="shared" si="24"/>
        <v>2625.7182905093973</v>
      </c>
      <c r="P66" s="141">
        <f t="shared" si="25"/>
        <v>494.9362375116403</v>
      </c>
      <c r="Q66" s="141">
        <f t="shared" si="26"/>
        <v>46646.64143285826</v>
      </c>
      <c r="R66" s="141">
        <f t="shared" si="27"/>
        <v>4396342.381203143</v>
      </c>
      <c r="S66" s="119" t="str">
        <f>IMDIV(1/$D$37,COMPLEX(1-$B66*$B66*$D$40*$D$40,$B66*2*$D$26*$D$40,"j"))</f>
        <v>5.56685599433712E-003-3.67045450176074E-005j</v>
      </c>
      <c r="T66" s="111">
        <f>IMABS($S66)</f>
        <v>0.00556697699701661</v>
      </c>
      <c r="U66" s="111">
        <f t="shared" si="28"/>
        <v>1.113395399403322E-05</v>
      </c>
      <c r="V66" s="143">
        <f t="shared" si="29"/>
        <v>0.09889894920693301</v>
      </c>
      <c r="W66" s="144">
        <f t="shared" si="30"/>
        <v>0.0010493504421918449</v>
      </c>
      <c r="X66" s="22" t="str">
        <f>IMPRODUCT(IMDIV($D$28,COMPLEX(1,$B66*$D$29,"j")),$AW66)</f>
        <v>5000000000</v>
      </c>
      <c r="Y66" s="124">
        <f>IMABS($X66)</f>
        <v>5000000000</v>
      </c>
      <c r="Z66" s="111" t="str">
        <f>IMPRODUCT($S66,$X66)</f>
        <v>27834279.9716856-183522.725088037j</v>
      </c>
      <c r="AA66" s="197">
        <f>IMABS($Z66)</f>
        <v>27834884.985083047</v>
      </c>
      <c r="AB66" s="111">
        <f t="shared" si="31"/>
        <v>55669.7699701661</v>
      </c>
      <c r="AC66" s="111">
        <f t="shared" si="32"/>
        <v>494494746.03466505</v>
      </c>
      <c r="AD66" s="145">
        <f t="shared" si="33"/>
        <v>5246752.210959224</v>
      </c>
      <c r="AE66" s="119" t="str">
        <f>IMPRODUCT($L66,$Z66)</f>
        <v>111.443592911981+15.2242212590925j</v>
      </c>
      <c r="AF66" s="141">
        <f>IMABS($AE66)</f>
        <v>112.4786704850175</v>
      </c>
      <c r="AG66" s="111">
        <f t="shared" si="21"/>
        <v>111.4786704850175</v>
      </c>
      <c r="AH66" s="106">
        <f>IF(AND(IMREAL(AE66)&lt;0,IMAGINARY(AE66)&gt;0),180/PI()*IMARGUMENT($AE66)-360,180/PI()*IMARGUMENT($AE66))</f>
        <v>7.778979071153555</v>
      </c>
      <c r="AI66" s="111" t="str">
        <f>IMDIV($Z66,IMSUM(1,IMPRODUCT($Z66,$L66)))</f>
        <v>242866.815158726-34514.9132560498j</v>
      </c>
      <c r="AJ66" s="151">
        <f>IMABS($AI66)</f>
        <v>245307.0915045373</v>
      </c>
      <c r="AK66" s="147">
        <f>180/PI()*IMARGUMENT($AI66)</f>
        <v>-8.088402719916749</v>
      </c>
      <c r="AL66" s="144">
        <f t="shared" si="34"/>
        <v>2602.7890792295334</v>
      </c>
      <c r="AM66" s="146">
        <f t="shared" si="35"/>
        <v>490.6141830090746</v>
      </c>
      <c r="AN66" s="119" t="str">
        <f>IMPRODUCT($AI66,COMPLEX(0,$B66,"j"),$D$24)</f>
        <v>6505.9078754697+45779.3161382042j</v>
      </c>
      <c r="AO66" s="142">
        <f>IMABS(AN66)</f>
        <v>46239.29739264798</v>
      </c>
      <c r="AP66" s="132">
        <f>180/PI()*IMARGUMENT($AN66)</f>
        <v>81.91159728008324</v>
      </c>
      <c r="AQ66" s="133">
        <f t="shared" si="36"/>
        <v>4357951.1098769</v>
      </c>
      <c r="AR66" s="133">
        <f t="shared" si="16"/>
        <v>9.617227324136004E-07</v>
      </c>
      <c r="AS66" s="779">
        <f t="shared" si="17"/>
        <v>0.3119402192429215</v>
      </c>
      <c r="AT66" s="143">
        <f t="shared" si="18"/>
        <v>74999.99999999999</v>
      </c>
      <c r="AU66" s="120">
        <f t="shared" si="19"/>
        <v>500</v>
      </c>
      <c r="AV66" s="130">
        <f t="shared" si="20"/>
        <v>3333.3333333333335</v>
      </c>
      <c r="AW66" s="582" t="str">
        <f>IF($D$10,IMDIV(COMPLEX(1,$B66/$D$49,"j"),COMPLEX(1,$B66/$D$50,"j")),COMPLEX(1,0,"j"))</f>
        <v>1</v>
      </c>
      <c r="AX66" s="149">
        <f>IMABS(AW66)</f>
        <v>1</v>
      </c>
      <c r="AY66" s="111"/>
    </row>
    <row r="67" spans="1:51" ht="15" customHeight="1" thickBot="1">
      <c r="A67" s="118">
        <v>20</v>
      </c>
      <c r="B67" s="130">
        <f t="shared" si="37"/>
        <v>125.66370614359172</v>
      </c>
      <c r="C67" s="185" t="s">
        <v>326</v>
      </c>
      <c r="D67" s="401">
        <v>100</v>
      </c>
      <c r="E67" s="257" t="s">
        <v>11</v>
      </c>
      <c r="F67" s="224"/>
      <c r="G67" s="223"/>
      <c r="H67" s="139" t="str">
        <f>IMDIV(COMPLEX(0,$D$15*$D$23*$B67,"j"),COMPLEX(1,$B67*$D$16*$D$15*$D$23,"j"))</f>
        <v>1.99999998E-010+1.99999998E-006j</v>
      </c>
      <c r="I67" s="145">
        <f t="shared" si="15"/>
        <v>1E-05</v>
      </c>
      <c r="J67" s="150" t="str">
        <f>IMDIV(IF($D$12,$D$52/$D$19,$D$53)/$D$21,COMPLEX(1,$B67*IF($D$12,$D$52,$D$53*$D$19)*$D$17,"j"))</f>
        <v>3.97887357729485E-014-4.99999999999682E-008j</v>
      </c>
      <c r="K67" s="140" t="str">
        <f>IMSUM(IF($D$9,$H67,0),IF($D$7,$I67,0),IF($D$8,$J67,0))</f>
        <v>1.00002000397867E-005+1.94999998000003E-006j</v>
      </c>
      <c r="L67" s="139" t="str">
        <f>IMPRODUCT($D$22,$K67)</f>
        <v>4.00008001591468E-006+7.79999992000012E-007j</v>
      </c>
      <c r="M67" s="377">
        <f>IMABS($L67)</f>
        <v>4.075419011738548E-06</v>
      </c>
      <c r="N67" s="141">
        <f t="shared" si="23"/>
        <v>245373.54247984584</v>
      </c>
      <c r="O67" s="498">
        <f t="shared" si="24"/>
        <v>1952.6206094818315</v>
      </c>
      <c r="P67" s="141">
        <f t="shared" si="25"/>
        <v>490.7470849596917</v>
      </c>
      <c r="Q67" s="141">
        <f t="shared" si="26"/>
        <v>61669.097475198934</v>
      </c>
      <c r="R67" s="141">
        <f t="shared" si="27"/>
        <v>7749567.343263913</v>
      </c>
      <c r="S67" s="119" t="str">
        <f>IMDIV(1/$D$37,COMPLEX(1-$B67*$B67*$D$40*$D$40,$B67*2*$D$26*$D$40,"j"))</f>
        <v>6.03047585391658E-003-5.74331033706341E-005j</v>
      </c>
      <c r="T67" s="111">
        <f>IMABS($S67)</f>
        <v>0.006030749338683685</v>
      </c>
      <c r="U67" s="111">
        <f t="shared" si="28"/>
        <v>1.206149867736737E-05</v>
      </c>
      <c r="V67" s="143">
        <f t="shared" si="29"/>
        <v>0.19046755268780552</v>
      </c>
      <c r="W67" s="144">
        <f t="shared" si="30"/>
        <v>0.0015156926254440133</v>
      </c>
      <c r="X67" s="22" t="str">
        <f>IMPRODUCT(IMDIV($D$28,COMPLEX(1,$B67*$D$29,"j")),$AW67)</f>
        <v>5000000000</v>
      </c>
      <c r="Y67" s="124">
        <f>IMABS($X67)</f>
        <v>5000000000</v>
      </c>
      <c r="Z67" s="111" t="str">
        <f>IMPRODUCT($S67,$X67)</f>
        <v>30152379.2695829-287165.51685317j</v>
      </c>
      <c r="AA67" s="197">
        <f>IMABS($Z67)</f>
        <v>30153746.69341842</v>
      </c>
      <c r="AB67" s="111">
        <f t="shared" si="31"/>
        <v>60307.493386836846</v>
      </c>
      <c r="AC67" s="111">
        <f t="shared" si="32"/>
        <v>952337763.4390275</v>
      </c>
      <c r="AD67" s="145">
        <f t="shared" si="33"/>
        <v>7578463.127220066</v>
      </c>
      <c r="AE67" s="119" t="str">
        <f>IMPRODUCT($L67,$Z67)</f>
        <v>120.835918849387+22.3701705438318j</v>
      </c>
      <c r="AF67" s="141">
        <f>IMABS($AE67)</f>
        <v>122.88915254950601</v>
      </c>
      <c r="AG67" s="111">
        <f t="shared" si="21"/>
        <v>121.88915254950601</v>
      </c>
      <c r="AH67" s="106">
        <f>IF(AND(IMREAL(AE67)&lt;0,IMAGINARY(AE67)&gt;0),180/PI()*IMARGUMENT($AE67)-360,180/PI()*IMARGUMENT($AE67))</f>
        <v>10.48833599279275</v>
      </c>
      <c r="AI67" s="111" t="str">
        <f>IMDIV($Z67,IMSUM(1,IMPRODUCT($Z67,$L67)))</f>
        <v>238993.714415725-46238.381262597j</v>
      </c>
      <c r="AJ67" s="141">
        <f>IMABS($AI67)</f>
        <v>243425.51927029013</v>
      </c>
      <c r="AK67" s="147">
        <f>180/PI()*IMARGUMENT($AI67)</f>
        <v>-10.949795279549901</v>
      </c>
      <c r="AL67" s="144">
        <f t="shared" si="34"/>
        <v>1937.118733328905</v>
      </c>
      <c r="AM67" s="146">
        <f t="shared" si="35"/>
        <v>486.85103854058025</v>
      </c>
      <c r="AN67" s="119" t="str">
        <f>IMPRODUCT($AI67,COMPLEX(0,$B67,"j"),$D$24)</f>
        <v>11620.9727110767+60065.6717970064j</v>
      </c>
      <c r="AO67" s="142">
        <f>IMABS(AN67)</f>
        <v>61179.505842866034</v>
      </c>
      <c r="AP67" s="132">
        <f>180/PI()*IMARGUMENT($AN67)</f>
        <v>79.05020472045011</v>
      </c>
      <c r="AQ67" s="133">
        <f t="shared" si="36"/>
        <v>7688043.444248057</v>
      </c>
      <c r="AR67" s="133">
        <f t="shared" si="16"/>
        <v>9.542950904302266E-07</v>
      </c>
      <c r="AS67" s="779">
        <f t="shared" si="17"/>
        <v>0.31436816872310475</v>
      </c>
      <c r="AT67" s="143">
        <f t="shared" si="18"/>
        <v>100000.00000000001</v>
      </c>
      <c r="AU67" s="120">
        <f t="shared" si="19"/>
        <v>500</v>
      </c>
      <c r="AV67" s="130">
        <f t="shared" si="20"/>
        <v>2500</v>
      </c>
      <c r="AW67" s="582" t="str">
        <f>IF($D$10,IMDIV(COMPLEX(1,$B67/$D$49,"j"),COMPLEX(1,$B67/$D$50,"j")),COMPLEX(1,0,"j"))</f>
        <v>1</v>
      </c>
      <c r="AX67" s="149">
        <f>IMABS(AW67)</f>
        <v>1</v>
      </c>
      <c r="AY67" s="111"/>
    </row>
    <row r="68" spans="1:51" ht="15" customHeight="1">
      <c r="A68" s="400">
        <v>30</v>
      </c>
      <c r="B68" s="130">
        <f t="shared" si="37"/>
        <v>188.49555921538757</v>
      </c>
      <c r="C68" s="202" t="s">
        <v>325</v>
      </c>
      <c r="D68" s="290">
        <f>2*PI()*$D$67</f>
        <v>628.3185307179587</v>
      </c>
      <c r="E68" s="203" t="s">
        <v>55</v>
      </c>
      <c r="F68" s="224"/>
      <c r="G68" s="223"/>
      <c r="H68" s="139" t="str">
        <f>IMDIV(COMPLEX(0,$D$15*$D$23*$B68,"j"),COMPLEX(1,$B68*$D$16*$D$15*$D$23,"j"))</f>
        <v>4.49999989875E-010+2.9999999325E-006j</v>
      </c>
      <c r="I68" s="145">
        <f t="shared" si="15"/>
        <v>1E-05</v>
      </c>
      <c r="J68" s="150" t="str">
        <f>IMDIV(IF($D$12,$D$52/$D$19,$D$53)/$D$21,COMPLEX(1,$B68*IF($D$12,$D$52,$D$53*$D$19)*$D$17,"j"))</f>
        <v>1.76838825657611E-014-3.33333333333239E-008j</v>
      </c>
      <c r="K68" s="140" t="str">
        <f>IMSUM(IF($D$9,$H68,0),IF($D$7,$I68,0),IF($D$8,$J68,0))</f>
        <v>1.00004500176738E-005+2.96666659916668E-006j</v>
      </c>
      <c r="L68" s="139" t="str">
        <f>IMPRODUCT($D$22,$K68)</f>
        <v>4.00018000706952E-006+1.18666663966667E-006j</v>
      </c>
      <c r="M68" s="377">
        <f>IMABS($L68)</f>
        <v>4.172483409512433E-06</v>
      </c>
      <c r="N68" s="141">
        <f t="shared" si="23"/>
        <v>239665.42268812834</v>
      </c>
      <c r="O68" s="498">
        <f t="shared" si="24"/>
        <v>1271.4645569674703</v>
      </c>
      <c r="P68" s="141">
        <f t="shared" si="25"/>
        <v>479.33084537625666</v>
      </c>
      <c r="Q68" s="141">
        <f t="shared" si="26"/>
        <v>90351.73574838197</v>
      </c>
      <c r="R68" s="141">
        <f t="shared" si="27"/>
        <v>17030900.955972183</v>
      </c>
      <c r="S68" s="119" t="str">
        <f>IMDIV(1/$D$37,COMPLEX(1-$B68*$B68*$D$40*$D$40,$B68*2*$D$26*$D$40,"j"))</f>
        <v>7.91293558064257E-003-1.48367542137048E-004j</v>
      </c>
      <c r="T68" s="111">
        <f>IMABS($S68)</f>
        <v>0.0079143264041205</v>
      </c>
      <c r="U68" s="111">
        <f t="shared" si="28"/>
        <v>1.5828652808241002E-05</v>
      </c>
      <c r="V68" s="143">
        <f t="shared" si="29"/>
        <v>0.5624011491103109</v>
      </c>
      <c r="W68" s="144">
        <f t="shared" si="30"/>
        <v>0.0029836307627156026</v>
      </c>
      <c r="X68" s="22" t="str">
        <f>IMPRODUCT(IMDIV($D$28,COMPLEX(1,$B68*$D$29,"j")),$AW68)</f>
        <v>5000000000</v>
      </c>
      <c r="Y68" s="124">
        <f>IMABS($X68)</f>
        <v>5000000000</v>
      </c>
      <c r="Z68" s="111" t="str">
        <f>IMPRODUCT($S68,$X68)</f>
        <v>39564677.9032129-741837.71068524j</v>
      </c>
      <c r="AA68" s="197">
        <f>IMABS($Z68)</f>
        <v>39571632.020602554</v>
      </c>
      <c r="AB68" s="111">
        <f t="shared" si="31"/>
        <v>79143.26404120511</v>
      </c>
      <c r="AC68" s="111">
        <f t="shared" si="32"/>
        <v>2812005745.551558</v>
      </c>
      <c r="AD68" s="145">
        <f t="shared" si="33"/>
        <v>14918153.813578032</v>
      </c>
      <c r="AE68" s="119" t="str">
        <f>IMPRODUCT($L68,$Z68)</f>
        <v>159.146147597894+43.9825989981265j</v>
      </c>
      <c r="AF68" s="141">
        <f>IMABS($AE68)</f>
        <v>165.1119780932948</v>
      </c>
      <c r="AG68" s="111">
        <f t="shared" si="21"/>
        <v>164.1119780932948</v>
      </c>
      <c r="AH68" s="106">
        <f>IF(AND(IMREAL(AE68)&lt;0,IMAGINARY(AE68)&gt;0),180/PI()*IMARGUMENT($AE68)-360,180/PI()*IMARGUMENT($AE68))</f>
        <v>15.44899405691694</v>
      </c>
      <c r="AI68" s="111" t="str">
        <f>IMDIV($Z68,IMSUM(1,IMPRODUCT($Z68,$L68)))</f>
        <v>228542.979687776-67399.3855114852j</v>
      </c>
      <c r="AJ68" s="141">
        <f>IMABS($AI68)</f>
        <v>238274.1503644342</v>
      </c>
      <c r="AK68" s="147">
        <f>180/PI()*IMARGUMENT($AI68)</f>
        <v>-16.431263508609515</v>
      </c>
      <c r="AL68" s="144">
        <f t="shared" si="34"/>
        <v>1264.083628050708</v>
      </c>
      <c r="AM68" s="146">
        <f t="shared" si="35"/>
        <v>476.5483007288684</v>
      </c>
      <c r="AN68" s="119" t="str">
        <f>IMPRODUCT($AI68,COMPLEX(0,$B68,"j"),$D$24)</f>
        <v>25408.9697255218+86158.6735219968j</v>
      </c>
      <c r="AO68" s="142">
        <f>IMABS(AN68)</f>
        <v>89827.23843903092</v>
      </c>
      <c r="AP68" s="132">
        <f>180/PI()*IMARGUMENT($AN68)</f>
        <v>73.56873649139051</v>
      </c>
      <c r="AQ68" s="133">
        <f t="shared" si="36"/>
        <v>16932035.542339057</v>
      </c>
      <c r="AR68" s="133">
        <f t="shared" si="16"/>
        <v>9.340232812063606E-07</v>
      </c>
      <c r="AS68" s="779">
        <f t="shared" si="17"/>
        <v>0.32119113734780536</v>
      </c>
      <c r="AT68" s="143">
        <f t="shared" si="18"/>
        <v>149999.99999999997</v>
      </c>
      <c r="AU68" s="120">
        <f t="shared" si="19"/>
        <v>500</v>
      </c>
      <c r="AV68" s="130">
        <f t="shared" si="20"/>
        <v>1666.6666666666667</v>
      </c>
      <c r="AW68" s="582" t="str">
        <f>IF($D$10,IMDIV(COMPLEX(1,$B68/$D$49,"j"),COMPLEX(1,$B68/$D$50,"j")),COMPLEX(1,0,"j"))</f>
        <v>1</v>
      </c>
      <c r="AX68" s="149">
        <f>IMABS(AW68)</f>
        <v>1</v>
      </c>
      <c r="AY68" s="111"/>
    </row>
    <row r="69" spans="1:51" ht="15" customHeight="1">
      <c r="A69" s="118">
        <v>40</v>
      </c>
      <c r="B69" s="130">
        <f t="shared" si="37"/>
        <v>251.32741228718345</v>
      </c>
      <c r="C69" s="633" t="s">
        <v>44</v>
      </c>
      <c r="D69" s="652">
        <f>1/($D$20*$D$68)</f>
        <v>1.5915494309189533E-09</v>
      </c>
      <c r="E69" s="200"/>
      <c r="F69" s="224" t="s">
        <v>609</v>
      </c>
      <c r="G69" s="223"/>
      <c r="H69" s="139" t="str">
        <f>IMDIV(COMPLEX(0,$D$15*$D$23*$B69,"j"),COMPLEX(1,$B69*$D$16*$D$15*$D$23,"j"))</f>
        <v>7.99999968000001E-010+3.99999984000001E-006j</v>
      </c>
      <c r="I69" s="145">
        <f t="shared" si="15"/>
        <v>1E-05</v>
      </c>
      <c r="J69" s="150" t="str">
        <f>IMDIV(IF($D$12,$D$52/$D$19,$D$53)/$D$21,COMPLEX(1,$B69*IF($D$12,$D$52,$D$53*$D$19)*$D$17,"j"))</f>
        <v>9.94718394324192E-015-2.49999999999961E-008j</v>
      </c>
      <c r="K69" s="140" t="str">
        <f>IMSUM(IF($D$9,$H69,0),IF($D$7,$I69,0),IF($D$8,$J69,0))</f>
        <v>1.00008000099152E-005+3.97499984000001E-006j</v>
      </c>
      <c r="L69" s="139" t="str">
        <f>IMPRODUCT($D$22,$K69)</f>
        <v>4.00032000396608E-006+1.589999936E-006j</v>
      </c>
      <c r="M69" s="377">
        <f>IMABS($L69)</f>
        <v>4.3047253025728816E-06</v>
      </c>
      <c r="N69" s="141">
        <f t="shared" si="23"/>
        <v>232302.86016213676</v>
      </c>
      <c r="O69" s="498">
        <f t="shared" si="24"/>
        <v>924.303712229735</v>
      </c>
      <c r="P69" s="141">
        <f t="shared" si="25"/>
        <v>464.60572032427353</v>
      </c>
      <c r="Q69" s="141">
        <f t="shared" si="26"/>
        <v>116768.15342292254</v>
      </c>
      <c r="R69" s="141">
        <f t="shared" si="27"/>
        <v>29347037.837335944</v>
      </c>
      <c r="S69" s="119" t="str">
        <f>IMDIV(1/$D$37,COMPLEX(1-$B69*$B69*$D$40*$D$40,$B69*2*$D$26*$D$40,"j"))</f>
        <v>1.40446441101072E-002-6.24206404893653E-004j</v>
      </c>
      <c r="T69" s="111">
        <f>IMABS($S69)</f>
        <v>0.014058508520304673</v>
      </c>
      <c r="U69" s="111">
        <f t="shared" si="28"/>
        <v>2.8117017040609346E-05</v>
      </c>
      <c r="V69" s="143">
        <f t="shared" si="29"/>
        <v>1.7760245448288159</v>
      </c>
      <c r="W69" s="144">
        <f t="shared" si="30"/>
        <v>0.007066577134050988</v>
      </c>
      <c r="X69" s="22" t="str">
        <f>IMPRODUCT(IMDIV($D$28,COMPLEX(1,$B69*$D$29,"j")),$AW69)</f>
        <v>5000000000</v>
      </c>
      <c r="Y69" s="124">
        <f>IMABS($X69)</f>
        <v>5000000000</v>
      </c>
      <c r="Z69" s="111" t="str">
        <f>IMPRODUCT($S69,$X69)</f>
        <v>70223220.550536-3121032.02446827j</v>
      </c>
      <c r="AA69" s="197">
        <f>IMABS($Z69)</f>
        <v>70292542.60152337</v>
      </c>
      <c r="AB69" s="111">
        <f t="shared" si="31"/>
        <v>140585.08520304674</v>
      </c>
      <c r="AC69" s="111">
        <f t="shared" si="32"/>
        <v>8880122724.14408</v>
      </c>
      <c r="AD69" s="145">
        <f t="shared" si="33"/>
        <v>35332885.67025494</v>
      </c>
      <c r="AE69" s="119" t="str">
        <f>IMPRODUCT($L69,$Z69)</f>
        <v>285.87779463039+99.169789340567j</v>
      </c>
      <c r="AF69" s="141">
        <f>IMABS($AE69)</f>
        <v>302.59008671896026</v>
      </c>
      <c r="AG69" s="111">
        <f t="shared" si="21"/>
        <v>301.59008671896026</v>
      </c>
      <c r="AH69" s="106">
        <f>IF(AND(IMREAL(AE69)&lt;0,IMAGINARY(AE69)&gt;0),180/PI()*IMARGUMENT($AE69)-360,180/PI()*IMARGUMENT($AE69))</f>
        <v>19.131442371357387</v>
      </c>
      <c r="AI69" s="111" t="str">
        <f>IMDIV($Z69,IMSUM(1,IMPRODUCT($Z69,$L69)))</f>
        <v>215295.924649417-85304.2095829091j</v>
      </c>
      <c r="AJ69" s="141">
        <f>IMABS($AI69)</f>
        <v>231579.66953774745</v>
      </c>
      <c r="AK69" s="147">
        <f>180/PI()*IMARGUMENT($AI69)</f>
        <v>-21.61438266690064</v>
      </c>
      <c r="AL69" s="144">
        <f t="shared" si="34"/>
        <v>921.4262281630031</v>
      </c>
      <c r="AM69" s="146">
        <f t="shared" si="35"/>
        <v>463.1593390754949</v>
      </c>
      <c r="AN69" s="119" t="str">
        <f>IMPRODUCT($AI69,COMPLEX(0,$B69,"j"),$D$24)</f>
        <v>42878.5725033521+108219.535236229j</v>
      </c>
      <c r="AO69" s="142">
        <f>IMABS(AN69)</f>
        <v>116404.63816648646</v>
      </c>
      <c r="AP69" s="132">
        <f>180/PI()*IMARGUMENT($AN69)</f>
        <v>68.38561733309945</v>
      </c>
      <c r="AQ69" s="133">
        <f t="shared" si="36"/>
        <v>29255676.488608915</v>
      </c>
      <c r="AR69" s="133">
        <f t="shared" si="16"/>
        <v>9.07812913164007E-07</v>
      </c>
      <c r="AS69" s="779">
        <f t="shared" si="17"/>
        <v>0.3304645656057125</v>
      </c>
      <c r="AT69" s="143">
        <f t="shared" si="18"/>
        <v>200000.00000000003</v>
      </c>
      <c r="AU69" s="120">
        <f t="shared" si="19"/>
        <v>500</v>
      </c>
      <c r="AV69" s="130">
        <f t="shared" si="20"/>
        <v>1250</v>
      </c>
      <c r="AW69" s="582" t="str">
        <f>IF($D$10,IMDIV(COMPLEX(1,$B69/$D$49,"j"),COMPLEX(1,$B69/$D$50,"j")),COMPLEX(1,0,"j"))</f>
        <v>1</v>
      </c>
      <c r="AX69" s="149">
        <f>IMABS(AW69)</f>
        <v>1</v>
      </c>
      <c r="AY69" s="111"/>
    </row>
    <row r="70" spans="1:51" ht="15" customHeight="1" thickBot="1">
      <c r="A70" s="118">
        <v>50</v>
      </c>
      <c r="B70" s="130">
        <f t="shared" si="37"/>
        <v>314.1592653589793</v>
      </c>
      <c r="C70" s="398" t="s">
        <v>47</v>
      </c>
      <c r="D70" s="634">
        <f>1/($D$15*$D$68)</f>
        <v>1000000</v>
      </c>
      <c r="E70" s="131"/>
      <c r="H70" s="139" t="str">
        <f>IMDIV(COMPLEX(0,$D$15*$D$23*$B70,"j"),COMPLEX(1,$B70*$D$16*$D$15*$D$23,"j"))</f>
        <v>1.249999921875E-009+4.99999968750002E-006j</v>
      </c>
      <c r="I70" s="145">
        <f t="shared" si="15"/>
        <v>1E-05</v>
      </c>
      <c r="J70" s="150" t="str">
        <f>IMDIV(IF($D$12,$D$52/$D$19,$D$53)/$D$21,COMPLEX(1,$B70*IF($D$12,$D$52,$D$53*$D$19)*$D$17,"j"))</f>
        <v>6.36619772367518E-015-1.9999999999998E-008j</v>
      </c>
      <c r="K70" s="140" t="str">
        <f>IMSUM(IF($D$9,$H70,0),IF($D$7,$I70,0),IF($D$8,$J70,0))</f>
        <v>1.00012500062881E-005+4.97999968750002E-006j</v>
      </c>
      <c r="L70" s="139" t="str">
        <f>IMPRODUCT($D$22,$K70)</f>
        <v>4.00050000251524E-006+1.99199987500001E-006j</v>
      </c>
      <c r="M70" s="377">
        <f>IMABS($L70)</f>
        <v>4.4690114983209085E-06</v>
      </c>
      <c r="N70" s="141">
        <f t="shared" si="23"/>
        <v>223763.12980526427</v>
      </c>
      <c r="O70" s="498">
        <f t="shared" si="24"/>
        <v>712.2601638044245</v>
      </c>
      <c r="P70" s="141">
        <f t="shared" si="25"/>
        <v>447.52625961052854</v>
      </c>
      <c r="Q70" s="141">
        <f t="shared" si="26"/>
        <v>140594.5209480955</v>
      </c>
      <c r="R70" s="141">
        <f t="shared" si="27"/>
        <v>44169071.41455132</v>
      </c>
      <c r="S70" s="119" t="str">
        <f>IMDIV(1/$D$37,COMPLEX(1-$B70*$B70*$D$40*$D$40,$B70*2*$D$26*$D$40,"j"))</f>
        <v>-2.81222777404993E-015-0.253302959105844j</v>
      </c>
      <c r="T70" s="111">
        <f>IMABS($S70)</f>
        <v>0.253302959105844</v>
      </c>
      <c r="U70" s="111">
        <f t="shared" si="28"/>
        <v>0.000506605918211688</v>
      </c>
      <c r="V70" s="143">
        <f t="shared" si="29"/>
        <v>49.999999999999915</v>
      </c>
      <c r="W70" s="144">
        <f t="shared" si="30"/>
        <v>0.15915494309189507</v>
      </c>
      <c r="X70" s="22" t="str">
        <f>IMPRODUCT(IMDIV($D$28,COMPLEX(1,$B70*$D$29,"j")),$AW70)</f>
        <v>5000000000</v>
      </c>
      <c r="Y70" s="124">
        <f>IMABS($X70)</f>
        <v>5000000000</v>
      </c>
      <c r="Z70" s="111" t="str">
        <f>IMPRODUCT($S70,$X70)</f>
        <v>-1.40611388702497E-005-1266514795.52922j</v>
      </c>
      <c r="AA70" s="197">
        <f>IMABS($Z70)</f>
        <v>1266514795.52922</v>
      </c>
      <c r="AB70" s="111">
        <f t="shared" si="31"/>
        <v>2533029.59105844</v>
      </c>
      <c r="AC70" s="111">
        <f t="shared" si="32"/>
        <v>249999999999.9996</v>
      </c>
      <c r="AD70" s="145">
        <f t="shared" si="33"/>
        <v>795774715.4594754</v>
      </c>
      <c r="AE70" s="119" t="str">
        <f>IMPRODUCT($L70,$Z70)</f>
        <v>2522.89731437981-5066.69244270026j</v>
      </c>
      <c r="AF70" s="141">
        <f>IMABS($AE70)</f>
        <v>5660.069184013635</v>
      </c>
      <c r="AG70" s="111">
        <f t="shared" si="21"/>
        <v>5659.069184013635</v>
      </c>
      <c r="AH70" s="106">
        <f>IF(AND(IMREAL(AE70)&lt;0,IMAGINARY(AE70)&gt;0),180/PI()*IMARGUMENT($AE70)-360,180/PI()*IMARGUMENT($AE70))</f>
        <v>-63.52955444507807</v>
      </c>
      <c r="AI70" s="111" t="str">
        <f>IMDIV($Z70,IMSUM(1,IMPRODUCT($Z70,$L70)))</f>
        <v>200273.238447731-99763.1283873633j</v>
      </c>
      <c r="AJ70" s="141">
        <f>IMABS($AI70)</f>
        <v>223745.5068241042</v>
      </c>
      <c r="AK70" s="147">
        <f>180/PI()*IMARGUMENT($AI70)</f>
        <v>-26.479506416427856</v>
      </c>
      <c r="AL70" s="144">
        <f t="shared" si="34"/>
        <v>712.2040681131517</v>
      </c>
      <c r="AM70" s="146">
        <f t="shared" si="35"/>
        <v>447.4910136482084</v>
      </c>
      <c r="AN70" s="119" t="str">
        <f>IMPRODUCT($AI70,COMPLEX(0,$B70,"j"),$D$24)</f>
        <v>62683.0222481751+125835.386923606j</v>
      </c>
      <c r="AO70" s="142">
        <f>IMABS(AN70)</f>
        <v>140583.44810246633</v>
      </c>
      <c r="AP70" s="132">
        <f>180/PI()*IMARGUMENT($AN70)</f>
        <v>63.520493583572225</v>
      </c>
      <c r="AQ70" s="133">
        <f t="shared" si="36"/>
        <v>44165592.77750296</v>
      </c>
      <c r="AR70" s="133">
        <f t="shared" si="16"/>
        <v>8.771755032306996E-07</v>
      </c>
      <c r="AS70" s="779">
        <f t="shared" si="17"/>
        <v>0.3420068149362114</v>
      </c>
      <c r="AT70" s="143">
        <f t="shared" si="18"/>
        <v>250000.00000000006</v>
      </c>
      <c r="AU70" s="120">
        <f t="shared" si="19"/>
        <v>500</v>
      </c>
      <c r="AV70" s="130">
        <f t="shared" si="20"/>
        <v>1000.0000000000001</v>
      </c>
      <c r="AW70" s="582" t="str">
        <f>IF($D$10,IMDIV(COMPLEX(1,$B70/$D$49,"j"),COMPLEX(1,$B70/$D$50,"j")),COMPLEX(1,0,"j"))</f>
        <v>1</v>
      </c>
      <c r="AX70" s="149">
        <f>IMABS(AW70)</f>
        <v>1</v>
      </c>
      <c r="AY70" s="111"/>
    </row>
    <row r="71" spans="1:51" ht="15" customHeight="1" thickBot="1">
      <c r="A71" s="118">
        <v>60</v>
      </c>
      <c r="B71" s="144">
        <f t="shared" si="37"/>
        <v>376.99111843077515</v>
      </c>
      <c r="C71" s="286" t="s">
        <v>386</v>
      </c>
      <c r="D71" s="67"/>
      <c r="E71" s="650"/>
      <c r="F71" s="9"/>
      <c r="G71" s="18"/>
      <c r="H71" s="139" t="str">
        <f>IMDIV(COMPLEX(0,$D$15*$D$23*$B71,"j"),COMPLEX(1,$B71*$D$16*$D$15*$D$23,"j"))</f>
        <v>1.79999983800001E-009+5.99999946000005E-006j</v>
      </c>
      <c r="I71" s="145">
        <f t="shared" si="15"/>
        <v>1E-05</v>
      </c>
      <c r="J71" s="150" t="str">
        <f>IMDIV(IF($D$12,$D$52/$D$19,$D$53)/$D$21,COMPLEX(1,$B71*IF($D$12,$D$52,$D$53*$D$19)*$D$17,"j"))</f>
        <v>4.42097064144123E-015-1.66666666666655E-008j</v>
      </c>
      <c r="K71" s="140" t="str">
        <f>IMSUM(IF($D$9,$H71,0),IF($D$7,$I71,0),IF($D$8,$J71,0))</f>
        <v>1.0001800004259E-005+5.98333279333339E-006j</v>
      </c>
      <c r="L71" s="139" t="str">
        <f>IMPRODUCT($D$22,$K71)</f>
        <v>4.0007200017036E-006+2.39333311733336E-006j</v>
      </c>
      <c r="M71" s="377">
        <f>IMABS($L71)</f>
        <v>4.6619528035530215E-06</v>
      </c>
      <c r="N71" s="141">
        <f aca="true" t="shared" si="38" ref="N71:N102">1/$M71</f>
        <v>214502.38604686613</v>
      </c>
      <c r="O71" s="498">
        <f aca="true" t="shared" si="39" ref="O71:O102">$N71/$B71</f>
        <v>568.9852507394124</v>
      </c>
      <c r="P71" s="141">
        <f aca="true" t="shared" si="40" ref="P71:P102">$N71*$D$24</f>
        <v>429.00477209373224</v>
      </c>
      <c r="Q71" s="141">
        <f aca="true" t="shared" si="41" ref="Q71:Q102">+$N71*$D$24*$B71</f>
        <v>161730.9888437559</v>
      </c>
      <c r="R71" s="141">
        <f aca="true" t="shared" si="42" ref="R71:R102">Q71*B71</f>
        <v>60971146.36912276</v>
      </c>
      <c r="S71" s="119" t="str">
        <f>IMDIV(1/$D$37,COMPLEX(1-$B71*$B71*$D$40*$D$40,$B71*2*$D$26*$D$40,"j"))</f>
        <v>-1.14796166371304E-002-6.2616090747984E-004j</v>
      </c>
      <c r="T71" s="111">
        <f>IMABS($S71)</f>
        <v>0.011496681069662541</v>
      </c>
      <c r="U71" s="111">
        <f aca="true" t="shared" si="43" ref="U71:U102">$T71*$D$24</f>
        <v>2.2993362139325084E-05</v>
      </c>
      <c r="V71" s="143">
        <f aca="true" t="shared" si="44" ref="V71:V102">$T71*$D$24*$B71*$B71</f>
        <v>3.2678695895921885</v>
      </c>
      <c r="W71" s="144">
        <f aca="true" t="shared" si="45" ref="W71:W102">$T71*$D$24*$B71</f>
        <v>0.008668293309388004</v>
      </c>
      <c r="X71" s="22" t="str">
        <f>IMPRODUCT(IMDIV($D$28,COMPLEX(1,$B71*$D$29,"j")),$AW71)</f>
        <v>5000000000</v>
      </c>
      <c r="Y71" s="124">
        <f>IMABS($X71)</f>
        <v>5000000000</v>
      </c>
      <c r="Z71" s="111" t="str">
        <f>IMPRODUCT($S71,$X71)</f>
        <v>-57398083.185652-3130804.5373992j</v>
      </c>
      <c r="AA71" s="197">
        <f>IMABS($Z71)</f>
        <v>57483405.348312706</v>
      </c>
      <c r="AB71" s="111">
        <f aca="true" t="shared" si="46" ref="AB71:AB102">$AA71*$D$24</f>
        <v>114966.81069662541</v>
      </c>
      <c r="AC71" s="111">
        <f aca="true" t="shared" si="47" ref="AC71:AC102">AA71*$D$24*B71*B71</f>
        <v>16339347947.960945</v>
      </c>
      <c r="AD71" s="145">
        <f aca="true" t="shared" si="48" ref="AD71:AD102">$AA71*$D$24*$B71</f>
        <v>43341466.54694002</v>
      </c>
      <c r="AE71" s="119" t="str">
        <f>IMPRODUCT($L71,$Z71)</f>
        <v>-222.14060127703-149.898205693873j</v>
      </c>
      <c r="AF71" s="141">
        <f>IMABS($AE71)</f>
        <v>267.9849227213409</v>
      </c>
      <c r="AG71" s="111">
        <f t="shared" si="21"/>
        <v>266.9849227213409</v>
      </c>
      <c r="AH71" s="106">
        <f>IF(AND(IMREAL(AE71)&lt;0,IMAGINARY(AE71)&gt;0),180/PI()*IMARGUMENT($AE71)-360,180/PI()*IMARGUMENT($AE71))</f>
        <v>-145.98892573352884</v>
      </c>
      <c r="AI71" s="111" t="str">
        <f>IMDIV($Z71,IMSUM(1,IMPRODUCT($Z71,$L71)))</f>
        <v>184417.292849631-110848.105766764j</v>
      </c>
      <c r="AJ71" s="141">
        <f>IMABS($AI71)</f>
        <v>215167.4707154087</v>
      </c>
      <c r="AK71" s="147">
        <f>180/PI()*IMARGUMENT($AI71)</f>
        <v>-31.008905653113125</v>
      </c>
      <c r="AL71" s="144">
        <f aca="true" t="shared" si="49" ref="AL71:AL102">$AJ71/$B71</f>
        <v>570.7494426156322</v>
      </c>
      <c r="AM71" s="146">
        <f aca="true" t="shared" si="50" ref="AM71:AM102">$AJ71*$D$24</f>
        <v>430.3349414308174</v>
      </c>
      <c r="AN71" s="119" t="str">
        <f>IMPRODUCT($AI71,COMPLEX(0,$B71,"j"),$D$24)</f>
        <v>83577.5027378904+139047.362978716j</v>
      </c>
      <c r="AO71" s="142">
        <f>IMABS(AN71)</f>
        <v>162232.45086984563</v>
      </c>
      <c r="AP71" s="132">
        <f>180/PI()*IMARGUMENT($AN71)</f>
        <v>58.991094346886825</v>
      </c>
      <c r="AQ71" s="133">
        <f aca="true" t="shared" si="51" ref="AQ71:AQ102">AJ71*$D$24*B71*B71</f>
        <v>61160193.09918902</v>
      </c>
      <c r="AR71" s="133">
        <f t="shared" si="16"/>
        <v>8.378943080135065E-07</v>
      </c>
      <c r="AS71" s="779">
        <f t="shared" si="17"/>
        <v>0.35804038424756085</v>
      </c>
      <c r="AT71" s="143">
        <f t="shared" si="18"/>
        <v>299999.99999999994</v>
      </c>
      <c r="AU71" s="120">
        <f t="shared" si="19"/>
        <v>500</v>
      </c>
      <c r="AV71" s="130">
        <f t="shared" si="20"/>
        <v>833.3333333333334</v>
      </c>
      <c r="AW71" s="582" t="str">
        <f>IF($D$10,IMDIV(COMPLEX(1,$B71/$D$49,"j"),COMPLEX(1,$B71/$D$50,"j")),COMPLEX(1,0,"j"))</f>
        <v>1</v>
      </c>
      <c r="AX71" s="149">
        <f>IMABS(AW71)</f>
        <v>1</v>
      </c>
      <c r="AY71" s="111"/>
    </row>
    <row r="72" spans="1:51" ht="15" customHeight="1" thickBot="1">
      <c r="A72" s="118">
        <v>70</v>
      </c>
      <c r="B72" s="144">
        <f t="shared" si="37"/>
        <v>439.822971502571</v>
      </c>
      <c r="C72" s="235"/>
      <c r="D72" s="360" t="str">
        <f>IF(ABS($D$73/$D$48-1)&lt;0.005,"MATCHES","")</f>
        <v>MATCHES</v>
      </c>
      <c r="E72" s="9"/>
      <c r="F72" s="235"/>
      <c r="G72" s="18"/>
      <c r="H72" s="139" t="str">
        <f>IMDIV(COMPLEX(0,$D$15*$D$23*$B72,"j"),COMPLEX(1,$B72*$D$16*$D$15*$D$23,"j"))</f>
        <v>2.44999969987504E-009+6.99999914250011E-006j</v>
      </c>
      <c r="I72" s="145">
        <f aca="true" t="shared" si="52" ref="I72:I123">$D$23/$D$20</f>
        <v>1E-05</v>
      </c>
      <c r="J72" s="150" t="str">
        <f>IMDIV(IF($D$12,$D$52/$D$19,$D$53)/$D$21,COMPLEX(1,$B72*IF($D$12,$D$52,$D$53*$D$19)*$D$17,"j"))</f>
        <v>3.24806006309974E-015-1.42857142857135E-008j</v>
      </c>
      <c r="K72" s="140" t="str">
        <f>IMSUM(IF($D$9,$H72,0),IF($D$7,$I72,0),IF($D$8,$J72,0))</f>
        <v>1.00024500029479E-005+6.9857134282144E-006j</v>
      </c>
      <c r="L72" s="139" t="str">
        <f>IMPRODUCT($D$22,$K72)</f>
        <v>4.00098000117916E-006+2.79428537128576E-006j</v>
      </c>
      <c r="M72" s="377">
        <f>IMABS($L72)</f>
        <v>4.880150787221353E-06</v>
      </c>
      <c r="N72" s="141">
        <f t="shared" si="38"/>
        <v>204911.70121597353</v>
      </c>
      <c r="O72" s="498">
        <f t="shared" si="39"/>
        <v>465.8958592270247</v>
      </c>
      <c r="P72" s="141">
        <f t="shared" si="40"/>
        <v>409.82340243194704</v>
      </c>
      <c r="Q72" s="141">
        <f t="shared" si="41"/>
        <v>180249.74664891293</v>
      </c>
      <c r="R72" s="141">
        <f t="shared" si="42"/>
        <v>79277979.18371047</v>
      </c>
      <c r="S72" s="119" t="str">
        <f>IMDIV(1/$D$37,COMPLEX(1-$B72*$B72*$D$40*$D$40,$B72*2*$D$26*$D$40,"j"))</f>
        <v>-5.27265955917732E-003-1.53785903809339E-004j</v>
      </c>
      <c r="T72" s="111">
        <f>IMABS($S72)</f>
        <v>0.005274901793511839</v>
      </c>
      <c r="U72" s="111">
        <f t="shared" si="43"/>
        <v>1.0549803587023679E-05</v>
      </c>
      <c r="V72" s="143">
        <f t="shared" si="44"/>
        <v>2.0407988030970965</v>
      </c>
      <c r="W72" s="144">
        <f t="shared" si="45"/>
        <v>0.0046400459624132365</v>
      </c>
      <c r="X72" s="22" t="str">
        <f>IMPRODUCT(IMDIV($D$28,COMPLEX(1,$B72*$D$29,"j")),$AW72)</f>
        <v>5000000000</v>
      </c>
      <c r="Y72" s="124">
        <f>IMABS($X72)</f>
        <v>5000000000</v>
      </c>
      <c r="Z72" s="111" t="str">
        <f>IMPRODUCT($S72,$X72)</f>
        <v>-26363297.7958866-768929.519046695j</v>
      </c>
      <c r="AA72" s="197">
        <f>IMABS($Z72)</f>
        <v>26374508.967559196</v>
      </c>
      <c r="AB72" s="111">
        <f t="shared" si="46"/>
        <v>52749.01793511839</v>
      </c>
      <c r="AC72" s="111">
        <f t="shared" si="47"/>
        <v>10203994015.485483</v>
      </c>
      <c r="AD72" s="145">
        <f t="shared" si="48"/>
        <v>23200229.812066182</v>
      </c>
      <c r="AE72" s="119" t="str">
        <f>IMPRODUCT($L72,$Z72)</f>
        <v>-103.330418739851-76.7430489979182j</v>
      </c>
      <c r="AF72" s="141">
        <f>IMABS($AE72)</f>
        <v>128.7115807006107</v>
      </c>
      <c r="AG72" s="111">
        <f t="shared" si="21"/>
        <v>127.71158070061071</v>
      </c>
      <c r="AH72" s="106">
        <f>IF(AND(IMREAL(AE72)&lt;0,IMAGINARY(AE72)&gt;0),180/PI()*IMARGUMENT($AE72)-360,180/PI()*IMARGUMENT($AE72))</f>
        <v>-143.39888942473436</v>
      </c>
      <c r="AI72" s="111" t="str">
        <f>IMDIV($Z72,IMSUM(1,IMPRODUCT($Z72,$L72)))</f>
        <v>168496.76579268-118850.544969336j</v>
      </c>
      <c r="AJ72" s="141">
        <f>IMABS($AI72)</f>
        <v>206195.5676587191</v>
      </c>
      <c r="AK72" s="147">
        <f>180/PI()*IMARGUMENT($AI72)</f>
        <v>-35.19753681567568</v>
      </c>
      <c r="AL72" s="144">
        <f t="shared" si="49"/>
        <v>468.81491195034994</v>
      </c>
      <c r="AM72" s="146">
        <f t="shared" si="50"/>
        <v>412.3911353174382</v>
      </c>
      <c r="AN72" s="119" t="str">
        <f>IMPRODUCT($AI72,COMPLEX(0,$B72,"j"),$D$24)</f>
        <v>104546.399706227+148217.496439019j</v>
      </c>
      <c r="AO72" s="142">
        <f>IMABS(AN72)</f>
        <v>181379.09455663513</v>
      </c>
      <c r="AP72" s="132">
        <f>180/PI()*IMARGUMENT($AN72)</f>
        <v>54.802463184324296</v>
      </c>
      <c r="AQ72" s="133">
        <f t="shared" si="51"/>
        <v>79774692.33634481</v>
      </c>
      <c r="AR72" s="133">
        <f aca="true" t="shared" si="53" ref="AR72:AR123">U72/(AF72+1)*9.802</f>
        <v>7.972239194176994E-07</v>
      </c>
      <c r="AS72" s="779">
        <f aca="true" t="shared" si="54" ref="AS72:AS123">0.0000003/AR72</f>
        <v>0.3763058190967515</v>
      </c>
      <c r="AT72" s="143">
        <f aca="true" t="shared" si="55" ref="AT72:AT123">B72*$D$19*$D$21*$D$24*$D$17/$D$22</f>
        <v>350000</v>
      </c>
      <c r="AU72" s="120">
        <f aca="true" t="shared" si="56" ref="AU72:AU123">$D$24*$D$20/($D$22*$D$23)</f>
        <v>500</v>
      </c>
      <c r="AV72" s="130">
        <f aca="true" t="shared" si="57" ref="AV72:AV123">$D$24/(B72*$D$15*$D$22*$D$23)</f>
        <v>714.2857142857142</v>
      </c>
      <c r="AW72" s="582" t="str">
        <f>IF($D$10,IMDIV(COMPLEX(1,$B72/$D$49,"j"),COMPLEX(1,$B72/$D$50,"j")),COMPLEX(1,0,"j"))</f>
        <v>1</v>
      </c>
      <c r="AX72" s="149">
        <f>IMABS(AW72)</f>
        <v>1</v>
      </c>
      <c r="AY72" s="111"/>
    </row>
    <row r="73" spans="1:51" ht="15" customHeight="1" thickBot="1">
      <c r="A73" s="118">
        <v>80</v>
      </c>
      <c r="B73" s="144">
        <f aca="true" t="shared" si="58" ref="B73:B109">2*PI()*A73</f>
        <v>502.6548245743669</v>
      </c>
      <c r="C73" s="185" t="s">
        <v>801</v>
      </c>
      <c r="D73" s="288">
        <v>10</v>
      </c>
      <c r="E73" s="194" t="s">
        <v>46</v>
      </c>
      <c r="F73" s="8"/>
      <c r="G73" s="3"/>
      <c r="H73" s="139" t="str">
        <f>IMDIV(COMPLEX(0,$D$15*$D$23*$B73,"j"),COMPLEX(1,$B73*$D$16*$D$15*$D$23,"j"))</f>
        <v>3.19999948800008E-009+7.99999872000021E-006j</v>
      </c>
      <c r="I73" s="145">
        <f t="shared" si="52"/>
        <v>1E-05</v>
      </c>
      <c r="J73" s="150" t="str">
        <f>IMDIV(IF($D$12,$D$52/$D$19,$D$53)/$D$21,COMPLEX(1,$B73*IF($D$12,$D$52,$D$53*$D$19)*$D$17,"j"))</f>
        <v>2.48679598581077E-015-1.24999999999995E-008j</v>
      </c>
      <c r="K73" s="140" t="str">
        <f>IMSUM(IF($D$9,$H73,0),IF($D$7,$I73,0),IF($D$8,$J73,0))</f>
        <v>1.00032000019748E-005+7.98749872000021E-006j</v>
      </c>
      <c r="L73" s="139" t="str">
        <f>IMPRODUCT($D$22,$K73)</f>
        <v>4.00128000078992E-006+3.19499948800008E-006j</v>
      </c>
      <c r="M73" s="377">
        <f>IMABS($L73)</f>
        <v>5.120377268624076E-06</v>
      </c>
      <c r="N73" s="141">
        <f t="shared" si="38"/>
        <v>195298.10940448832</v>
      </c>
      <c r="O73" s="498">
        <f t="shared" si="39"/>
        <v>388.53324360282613</v>
      </c>
      <c r="P73" s="141">
        <f t="shared" si="40"/>
        <v>390.59621880897663</v>
      </c>
      <c r="Q73" s="141">
        <f t="shared" si="41"/>
        <v>196335.07384483717</v>
      </c>
      <c r="R73" s="141">
        <f t="shared" si="42"/>
        <v>98688772.101272</v>
      </c>
      <c r="S73" s="119" t="str">
        <f>IMDIV(1/$D$37,COMPLEX(1-$B73*$B73*$D$40*$D$40,$B73*2*$D$26*$D$40,"j"))</f>
        <v>-3.24610795100284E-003-6.65868297641609E-005j</v>
      </c>
      <c r="T73" s="111">
        <f>IMABS($S73)</f>
        <v>0.0032467908210203344</v>
      </c>
      <c r="U73" s="111">
        <f t="shared" si="43"/>
        <v>6.493581642040669E-06</v>
      </c>
      <c r="V73" s="143">
        <f t="shared" si="44"/>
        <v>1.6406804979998115</v>
      </c>
      <c r="W73" s="144">
        <f t="shared" si="45"/>
        <v>0.0032640301411392815</v>
      </c>
      <c r="X73" s="22" t="str">
        <f>IMPRODUCT(IMDIV($D$28,COMPLEX(1,$B73*$D$29,"j")),$AW73)</f>
        <v>5000000000</v>
      </c>
      <c r="Y73" s="124">
        <f>IMABS($X73)</f>
        <v>5000000000</v>
      </c>
      <c r="Z73" s="111" t="str">
        <f>IMPRODUCT($S73,$X73)</f>
        <v>-16230539.7550142-332934.148820804j</v>
      </c>
      <c r="AA73" s="197">
        <f>IMABS($Z73)</f>
        <v>16233954.105101671</v>
      </c>
      <c r="AB73" s="111">
        <f t="shared" si="46"/>
        <v>32467.908210203343</v>
      </c>
      <c r="AC73" s="111">
        <f t="shared" si="47"/>
        <v>8203402489.999058</v>
      </c>
      <c r="AD73" s="145">
        <f t="shared" si="48"/>
        <v>16320150.705696408</v>
      </c>
      <c r="AE73" s="119" t="str">
        <f>IMPRODUCT($L73,$Z73)</f>
        <v>-63.8792096887438-53.188728958492j</v>
      </c>
      <c r="AF73" s="141">
        <f>IMABS($AE73)</f>
        <v>83.12396957964908</v>
      </c>
      <c r="AG73" s="111">
        <f t="shared" si="21"/>
        <v>82.12396957964908</v>
      </c>
      <c r="AH73" s="106">
        <f>IF(AND(IMREAL(AE73)&lt;0,IMAGINARY(AE73)&gt;0),180/PI()*IMARGUMENT($AE73)-360,180/PI()*IMARGUMENT($AE73))</f>
        <v>-140.2176990962047</v>
      </c>
      <c r="AI73" s="111" t="str">
        <f>IMDIV($Z73,IMSUM(1,IMPRODUCT($Z73,$L73)))</f>
        <v>153073.415343381-124188.047039447j</v>
      </c>
      <c r="AJ73" s="141">
        <f>IMABS($AI73)</f>
        <v>197114.53906893608</v>
      </c>
      <c r="AK73" s="147">
        <f>180/PI()*IMARGUMENT($AI73)</f>
        <v>-39.05232618072229</v>
      </c>
      <c r="AL73" s="144">
        <f t="shared" si="49"/>
        <v>392.1469156012713</v>
      </c>
      <c r="AM73" s="146">
        <f t="shared" si="50"/>
        <v>394.2290781378722</v>
      </c>
      <c r="AN73" s="119" t="str">
        <f>IMPRODUCT($AI73,COMPLEX(0,$B73,"j"),$D$24)</f>
        <v>124847.441997693+153886.181472853j</v>
      </c>
      <c r="AO73" s="142">
        <f>IMABS(AN73)</f>
        <v>198161.14811350676</v>
      </c>
      <c r="AP73" s="132">
        <f>180/PI()*IMARGUMENT($AN73)</f>
        <v>50.94767381927774</v>
      </c>
      <c r="AQ73" s="133">
        <f t="shared" si="51"/>
        <v>99606657.14244975</v>
      </c>
      <c r="AR73" s="133">
        <f t="shared" si="53"/>
        <v>7.56622489087588E-07</v>
      </c>
      <c r="AS73" s="779">
        <f t="shared" si="54"/>
        <v>0.39649892030273953</v>
      </c>
      <c r="AT73" s="143">
        <f t="shared" si="55"/>
        <v>400000.00000000006</v>
      </c>
      <c r="AU73" s="120">
        <f t="shared" si="56"/>
        <v>500</v>
      </c>
      <c r="AV73" s="130">
        <f t="shared" si="57"/>
        <v>625</v>
      </c>
      <c r="AW73" s="582" t="str">
        <f>IF($D$10,IMDIV(COMPLEX(1,$B73/$D$49,"j"),COMPLEX(1,$B73/$D$50,"j")),COMPLEX(1,0,"j"))</f>
        <v>1</v>
      </c>
      <c r="AX73" s="149">
        <f>IMABS(AW73)</f>
        <v>1</v>
      </c>
      <c r="AY73" s="111"/>
    </row>
    <row r="74" spans="1:51" ht="15" customHeight="1">
      <c r="A74" s="118">
        <v>90</v>
      </c>
      <c r="B74" s="144">
        <f t="shared" si="58"/>
        <v>565.4866776461628</v>
      </c>
      <c r="C74" s="185" t="s">
        <v>802</v>
      </c>
      <c r="D74" s="289">
        <f>1/$D$73</f>
        <v>0.1</v>
      </c>
      <c r="E74" s="194" t="s">
        <v>11</v>
      </c>
      <c r="F74" s="8"/>
      <c r="G74" s="3"/>
      <c r="H74" s="139" t="str">
        <f>IMDIV(COMPLEX(0,$D$15*$D$23*$B74,"j"),COMPLEX(1,$B74*$D$16*$D$15*$D$23,"j"))</f>
        <v>4.04999917987517E-009+8.99999817750037E-006j</v>
      </c>
      <c r="I74" s="145">
        <f t="shared" si="52"/>
        <v>1E-05</v>
      </c>
      <c r="J74" s="150" t="str">
        <f>IMDIV(IF($D$12,$D$52/$D$19,$D$53)/$D$21,COMPLEX(1,$B74*IF($D$12,$D$52,$D$53*$D$19)*$D$17,"j"))</f>
        <v>1.96487584064062E-015-1.11111111111108E-008j</v>
      </c>
      <c r="K74" s="140" t="str">
        <f>IMSUM(IF($D$9,$H74,0),IF($D$7,$I74,0),IF($D$8,$J74,0))</f>
        <v>1.00040500011448E-005+8.98888706638926E-006j</v>
      </c>
      <c r="L74" s="139" t="str">
        <f>IMPRODUCT($D$22,$K74)</f>
        <v>4.00162000045792E-006+3.5955548265557E-006j</v>
      </c>
      <c r="M74" s="377">
        <f>IMABS($L74)</f>
        <v>5.379681880820913E-06</v>
      </c>
      <c r="N74" s="141">
        <f t="shared" si="38"/>
        <v>185884.59729656077</v>
      </c>
      <c r="O74" s="498">
        <f t="shared" si="39"/>
        <v>328.7161389377112</v>
      </c>
      <c r="P74" s="141">
        <f t="shared" si="40"/>
        <v>371.76919459312154</v>
      </c>
      <c r="Q74" s="141">
        <f t="shared" si="41"/>
        <v>210230.52670165407</v>
      </c>
      <c r="R74" s="141">
        <f t="shared" si="42"/>
        <v>118882562.08432128</v>
      </c>
      <c r="S74" s="119" t="str">
        <f>IMDIV(1/$D$37,COMPLEX(1-$B74*$B74*$D$40*$D$40,$B74*2*$D$26*$D$40,"j"))</f>
        <v>-2.2610495551097E-003-3.63382964214058E-005j</v>
      </c>
      <c r="T74" s="111">
        <f>IMABS($S74)</f>
        <v>0.002261341540424308</v>
      </c>
      <c r="U74" s="111">
        <f t="shared" si="43"/>
        <v>4.522683080848616E-06</v>
      </c>
      <c r="V74" s="143">
        <f t="shared" si="44"/>
        <v>1.4462418079990187</v>
      </c>
      <c r="W74" s="144">
        <f t="shared" si="45"/>
        <v>0.002557517029435596</v>
      </c>
      <c r="X74" s="22" t="str">
        <f>IMPRODUCT(IMDIV($D$28,COMPLEX(1,$B74*$D$29,"j")),$AW74)</f>
        <v>5000000000</v>
      </c>
      <c r="Y74" s="124">
        <f>IMABS($X74)</f>
        <v>5000000000</v>
      </c>
      <c r="Z74" s="111" t="str">
        <f>IMPRODUCT($S74,$X74)</f>
        <v>-11305247.7755485-181691.482107029j</v>
      </c>
      <c r="AA74" s="197">
        <f>IMABS($Z74)</f>
        <v>11306707.702121539</v>
      </c>
      <c r="AB74" s="111">
        <f t="shared" si="46"/>
        <v>22613.41540424308</v>
      </c>
      <c r="AC74" s="111">
        <f t="shared" si="47"/>
        <v>7231209039.995092</v>
      </c>
      <c r="AD74" s="145">
        <f t="shared" si="48"/>
        <v>12787585.147177977</v>
      </c>
      <c r="AE74" s="119" t="str">
        <f>IMPRODUCT($L74,$Z74)</f>
        <v>-44.5860239233333-41.3756984734938j</v>
      </c>
      <c r="AF74" s="141">
        <f>IMABS($AE74)</f>
        <v>60.82649055684149</v>
      </c>
      <c r="AG74" s="111">
        <f t="shared" si="21"/>
        <v>59.82649055684149</v>
      </c>
      <c r="AH74" s="106">
        <f>IF(AND(IMREAL(AE74)&lt;0,IMAGINARY(AE74)&gt;0),180/PI()*IMARGUMENT($AE74)-360,180/PI()*IMARGUMENT($AE74))</f>
        <v>-137.1387735294464</v>
      </c>
      <c r="AI74" s="111" t="str">
        <f>IMDIV($Z74,IMSUM(1,IMPRODUCT($Z74,$L74)))</f>
        <v>138513.666747911-127320.818193323j</v>
      </c>
      <c r="AJ74" s="141">
        <f>IMABS($AI74)</f>
        <v>188139.91235612007</v>
      </c>
      <c r="AK74" s="147">
        <f>180/PI()*IMARGUMENT($AI74)</f>
        <v>-42.58900949472795</v>
      </c>
      <c r="AL74" s="144">
        <f t="shared" si="49"/>
        <v>332.7044116039163</v>
      </c>
      <c r="AM74" s="146">
        <f t="shared" si="50"/>
        <v>376.27982471224016</v>
      </c>
      <c r="AN74" s="119" t="str">
        <f>IMPRODUCT($AI74,COMPLEX(0,$B74,"j"),$D$24)</f>
        <v>143996.452950667+156655.266435728j</v>
      </c>
      <c r="AO74" s="142">
        <f>IMABS(AN74)</f>
        <v>212781.22794180547</v>
      </c>
      <c r="AP74" s="132">
        <f>180/PI()*IMARGUMENT($AN74)</f>
        <v>47.410990505272004</v>
      </c>
      <c r="AQ74" s="133">
        <f t="shared" si="51"/>
        <v>120324949.65428227</v>
      </c>
      <c r="AR74" s="133">
        <f t="shared" si="53"/>
        <v>7.170282375597752E-07</v>
      </c>
      <c r="AS74" s="779">
        <f t="shared" si="54"/>
        <v>0.41839356427715363</v>
      </c>
      <c r="AT74" s="143">
        <f t="shared" si="55"/>
        <v>450000.00000000006</v>
      </c>
      <c r="AU74" s="120">
        <f t="shared" si="56"/>
        <v>500</v>
      </c>
      <c r="AV74" s="130">
        <f t="shared" si="57"/>
        <v>555.5555555555555</v>
      </c>
      <c r="AW74" s="582" t="str">
        <f>IF($D$10,IMDIV(COMPLEX(1,$B74/$D$49,"j"),COMPLEX(1,$B74/$D$50,"j")),COMPLEX(1,0,"j"))</f>
        <v>1</v>
      </c>
      <c r="AX74" s="149">
        <f>IMABS(AW74)</f>
        <v>1</v>
      </c>
      <c r="AY74" s="111"/>
    </row>
    <row r="75" spans="1:51" ht="15" customHeight="1">
      <c r="A75" s="118">
        <v>100</v>
      </c>
      <c r="B75" s="144">
        <f t="shared" si="58"/>
        <v>628.3185307179587</v>
      </c>
      <c r="C75" s="202" t="s">
        <v>803</v>
      </c>
      <c r="D75" s="234">
        <f>2*PI()*$D$74</f>
        <v>0.6283185307179586</v>
      </c>
      <c r="E75" s="206" t="s">
        <v>55</v>
      </c>
      <c r="F75" s="8"/>
      <c r="G75" s="3"/>
      <c r="H75" s="139" t="str">
        <f>IMDIV(COMPLEX(0,$D$15*$D$23*$B75,"j"),COMPLEX(1,$B75*$D$16*$D$15*$D$23,"j"))</f>
        <v>4.99999875000031E-009+9.99999750000063E-006j</v>
      </c>
      <c r="I75" s="145">
        <f t="shared" si="52"/>
        <v>1E-05</v>
      </c>
      <c r="J75" s="150" t="str">
        <f>IMDIV(IF($D$12,$D$52/$D$19,$D$53)/$D$21,COMPLEX(1,$B75*IF($D$12,$D$52,$D$53*$D$19)*$D$17,"j"))</f>
        <v>1.59154943091891E-015-9.99999999999974E-009j</v>
      </c>
      <c r="K75" s="140" t="str">
        <f>IMSUM(IF($D$9,$H75,0),IF($D$7,$I75,0),IF($D$8,$J75,0))</f>
        <v>1.00050000003416E-005+9.98999750000063E-006j</v>
      </c>
      <c r="L75" s="139" t="str">
        <f>IMPRODUCT($D$22,$K75)</f>
        <v>4.00200000013664E-006+3.99599900000025E-006j</v>
      </c>
      <c r="M75" s="377">
        <f>IMABS($L75)</f>
        <v>5.655440920838681E-06</v>
      </c>
      <c r="N75" s="141">
        <f t="shared" si="38"/>
        <v>176820.8728545437</v>
      </c>
      <c r="O75" s="498">
        <f t="shared" si="39"/>
        <v>281.41915956624166</v>
      </c>
      <c r="P75" s="141">
        <f t="shared" si="40"/>
        <v>353.6417457090874</v>
      </c>
      <c r="Q75" s="141">
        <f t="shared" si="41"/>
        <v>222199.66206446776</v>
      </c>
      <c r="R75" s="141">
        <f t="shared" si="42"/>
        <v>139612165.1943733</v>
      </c>
      <c r="S75" s="119" t="str">
        <f>IMDIV(1/$D$37,COMPLEX(1-$B75*$B75*$D$40*$D$40,$B75*2*$D$26*$D$40,"j"))</f>
        <v>-1.68838623648581E-003-2.25118164864775E-005j</v>
      </c>
      <c r="T75" s="111">
        <f>IMABS($S75)</f>
        <v>0.0016885363085928113</v>
      </c>
      <c r="U75" s="111">
        <f t="shared" si="43"/>
        <v>3.3770726171856225E-06</v>
      </c>
      <c r="V75" s="143">
        <f t="shared" si="44"/>
        <v>1.3332148306149432</v>
      </c>
      <c r="W75" s="144">
        <f t="shared" si="45"/>
        <v>0.0021218773049579216</v>
      </c>
      <c r="X75" s="22" t="str">
        <f>IMPRODUCT(IMDIV($D$28,COMPLEX(1,$B75*$D$29,"j")),$AW75)</f>
        <v>5000000000</v>
      </c>
      <c r="Y75" s="124">
        <f>IMABS($X75)</f>
        <v>5000000000</v>
      </c>
      <c r="Z75" s="111" t="str">
        <f>IMPRODUCT($S75,$X75)</f>
        <v>-8441931.18242905-112559.082432388j</v>
      </c>
      <c r="AA75" s="197">
        <f>IMABS($Z75)</f>
        <v>8442681.542964056</v>
      </c>
      <c r="AB75" s="111">
        <f t="shared" si="46"/>
        <v>16885.36308592811</v>
      </c>
      <c r="AC75" s="111">
        <f t="shared" si="47"/>
        <v>6666074153.074716</v>
      </c>
      <c r="AD75" s="145">
        <f t="shared" si="48"/>
        <v>10609386.524789607</v>
      </c>
      <c r="AE75" s="119" t="str">
        <f>IMPRODUCT($L75,$Z75)</f>
        <v>-33.3348226123938-34.1844100109672j</v>
      </c>
      <c r="AF75" s="141">
        <f>IMABS($AE75)</f>
        <v>47.74708667968838</v>
      </c>
      <c r="AG75" s="111">
        <f aca="true" t="shared" si="59" ref="AG75:AG123">ABS(AF75-1)</f>
        <v>46.74708667968838</v>
      </c>
      <c r="AH75" s="106">
        <f>IF(AND(IMREAL(AE75)&lt;0,IMAGINARY(AE75)&gt;0),180/PI()*IMARGUMENT($AE75)-360,180/PI()*IMARGUMENT($AE75))</f>
        <v>-134.27909128139737</v>
      </c>
      <c r="AI75" s="111" t="str">
        <f>IMDIV($Z75,IMSUM(1,IMPRODUCT($Z75,$L75)))</f>
        <v>125023.387663237-128693.814476433j</v>
      </c>
      <c r="AJ75" s="141">
        <f>IMABS($AI75)</f>
        <v>179423.92635121604</v>
      </c>
      <c r="AK75" s="147">
        <f>180/PI()*IMARGUMENT($AI75)</f>
        <v>-45.82881765509826</v>
      </c>
      <c r="AL75" s="144">
        <f t="shared" si="49"/>
        <v>285.5620478775221</v>
      </c>
      <c r="AM75" s="146">
        <f t="shared" si="50"/>
        <v>358.8478527024321</v>
      </c>
      <c r="AN75" s="119" t="str">
        <f>IMPRODUCT($AI75,COMPLEX(0,$B75,"j"),$D$24)</f>
        <v>161721.416848644+157109.022483894j</v>
      </c>
      <c r="AO75" s="142">
        <f>IMABS(AN75)</f>
        <v>225470.7555612869</v>
      </c>
      <c r="AP75" s="132">
        <f>180/PI()*IMARGUMENT($AN75)</f>
        <v>44.17118234490179</v>
      </c>
      <c r="AQ75" s="133">
        <f t="shared" si="51"/>
        <v>141667453.8541356</v>
      </c>
      <c r="AR75" s="133">
        <f t="shared" si="53"/>
        <v>6.790573149768604E-07</v>
      </c>
      <c r="AS75" s="779">
        <f t="shared" si="54"/>
        <v>0.4417889232372422</v>
      </c>
      <c r="AT75" s="143">
        <f t="shared" si="55"/>
        <v>500000.0000000001</v>
      </c>
      <c r="AU75" s="120">
        <f t="shared" si="56"/>
        <v>500</v>
      </c>
      <c r="AV75" s="130">
        <f t="shared" si="57"/>
        <v>500.00000000000006</v>
      </c>
      <c r="AW75" s="582" t="str">
        <f>IF($D$10,IMDIV(COMPLEX(1,$B75/$D$49,"j"),COMPLEX(1,$B75/$D$50,"j")),COMPLEX(1,0,"j"))</f>
        <v>1</v>
      </c>
      <c r="AX75" s="149">
        <f>IMABS(AW75)</f>
        <v>1</v>
      </c>
      <c r="AY75" s="111"/>
    </row>
    <row r="76" spans="1:51" ht="15" customHeight="1">
      <c r="A76" s="118">
        <v>150</v>
      </c>
      <c r="B76" s="144">
        <f t="shared" si="58"/>
        <v>942.4777960769379</v>
      </c>
      <c r="C76" s="645" t="s">
        <v>409</v>
      </c>
      <c r="D76" s="646">
        <f>$D$20/($D$23*$D$19*$D$21*$D$75)</f>
        <v>4.399999999999999E-06</v>
      </c>
      <c r="E76" s="647" t="s">
        <v>110</v>
      </c>
      <c r="F76" s="674" t="s">
        <v>810</v>
      </c>
      <c r="G76" s="636"/>
      <c r="H76" s="718" t="str">
        <f>IMDIV(COMPLEX(0,$D$15*$D$23*$B76,"j"),COMPLEX(1,$B76*$D$16*$D$15*$D$23,"j"))</f>
        <v>1.12499936718786E-008+1.49999915625047E-005j</v>
      </c>
      <c r="I76" s="145">
        <f t="shared" si="52"/>
        <v>1E-05</v>
      </c>
      <c r="J76" s="150" t="str">
        <f>IMDIV(IF($D$12,$D$52/$D$19,$D$53)/$D$21,COMPLEX(1,$B76*IF($D$12,$D$52,$D$53*$D$19)*$D$17,"j"))</f>
        <v>7.07355302630638E-016-6.66666666666659E-009j</v>
      </c>
      <c r="K76" s="140" t="str">
        <f>IMSUM(IF($D$9,$H76,0),IF($D$7,$I76,0),IF($D$8,$J76,0))</f>
        <v>1.00112499943792E-005+1.4993324895838E-005j</v>
      </c>
      <c r="L76" s="139" t="str">
        <f>IMPRODUCT($D$22,$K76)</f>
        <v>4.00449999775168E-006+5.9973299583352E-006j</v>
      </c>
      <c r="M76" s="377">
        <f>IMABS($L76)</f>
        <v>7.211378984711462E-06</v>
      </c>
      <c r="N76" s="141">
        <f t="shared" si="38"/>
        <v>138669.73322578907</v>
      </c>
      <c r="O76" s="498">
        <f t="shared" si="39"/>
        <v>147.13315666745845</v>
      </c>
      <c r="P76" s="141">
        <f t="shared" si="40"/>
        <v>277.3394664515781</v>
      </c>
      <c r="Q76" s="141">
        <f t="shared" si="41"/>
        <v>261386.2891064372</v>
      </c>
      <c r="R76" s="141">
        <f t="shared" si="42"/>
        <v>246350773.68176427</v>
      </c>
      <c r="S76" s="119" t="str">
        <f>IMDIV(1/$D$37,COMPLEX(1-$B76*$B76*$D$40*$D$40,$B76*2*$D$26*$D$40,"j"))</f>
        <v>-6.3322177903954E-004-4.74916334279655E-006j</v>
      </c>
      <c r="T76" s="111">
        <f>IMABS($S76)</f>
        <v>0.0006332395881516384</v>
      </c>
      <c r="U76" s="111">
        <f t="shared" si="43"/>
        <v>1.2664791763032767E-06</v>
      </c>
      <c r="V76" s="143">
        <f t="shared" si="44"/>
        <v>1.124968360709776</v>
      </c>
      <c r="W76" s="144">
        <f t="shared" si="45"/>
        <v>0.001193628502859648</v>
      </c>
      <c r="X76" s="22" t="str">
        <f>IMPRODUCT(IMDIV($D$28,COMPLEX(1,$B76*$D$29,"j")),$AW76)</f>
        <v>5000000000</v>
      </c>
      <c r="Y76" s="124">
        <f>IMABS($X76)</f>
        <v>5000000000</v>
      </c>
      <c r="Z76" s="111" t="str">
        <f>IMPRODUCT($S76,$X76)</f>
        <v>-3166108.8951977-23745.8167139827j</v>
      </c>
      <c r="AA76" s="197">
        <f>IMABS($Z76)</f>
        <v>3166197.9407581915</v>
      </c>
      <c r="AB76" s="111">
        <f t="shared" si="46"/>
        <v>6332.395881516383</v>
      </c>
      <c r="AC76" s="111">
        <f t="shared" si="47"/>
        <v>5624841803.54888</v>
      </c>
      <c r="AD76" s="145">
        <f t="shared" si="48"/>
        <v>5968142.51429824</v>
      </c>
      <c r="AE76" s="119" t="str">
        <f>IMPRODUCT($L76,$Z76)</f>
        <v>-12.5362715657369-19.0832898514985j</v>
      </c>
      <c r="AF76" s="141">
        <f>IMABS($AE76)</f>
        <v>22.832653291420364</v>
      </c>
      <c r="AG76" s="111">
        <f t="shared" si="59"/>
        <v>21.832653291420364</v>
      </c>
      <c r="AH76" s="106">
        <f>IF(AND(IMREAL(AE76)&lt;0,IMAGINARY(AE76)&gt;0),180/PI()*IMARGUMENT($AE76)-360,180/PI()*IMARGUMENT($AE76))</f>
        <v>-123.30187322079567</v>
      </c>
      <c r="AI76" s="111" t="str">
        <f>IMDIV($Z76,IMSUM(1,IMPRODUCT($Z76,$L76)))</f>
        <v>74364.3672415021-120955.10668483j</v>
      </c>
      <c r="AJ76" s="141">
        <f>IMABS($AI76)</f>
        <v>141986.60834165875</v>
      </c>
      <c r="AK76" s="147">
        <f>180/PI()*IMARGUMENT($AI76)</f>
        <v>-58.41639808079297</v>
      </c>
      <c r="AL76" s="144">
        <f t="shared" si="49"/>
        <v>150.65247046951953</v>
      </c>
      <c r="AM76" s="146">
        <f t="shared" si="50"/>
        <v>283.9732166833175</v>
      </c>
      <c r="AN76" s="119" t="str">
        <f>IMPRODUCT($AI76,COMPLEX(0,$B76,"j"),$D$24)</f>
        <v>227995.004745139+140173.529888854j</v>
      </c>
      <c r="AO76" s="142">
        <f>IMABS(AN76)</f>
        <v>267638.45140457194</v>
      </c>
      <c r="AP76" s="132">
        <f>180/PI()*IMARGUMENT($AN76)</f>
        <v>31.583601919207048</v>
      </c>
      <c r="AQ76" s="133">
        <f t="shared" si="51"/>
        <v>252243297.8252255</v>
      </c>
      <c r="AR76" s="133">
        <f t="shared" si="53"/>
        <v>5.208832073512229E-07</v>
      </c>
      <c r="AS76" s="779">
        <f t="shared" si="54"/>
        <v>0.575944848607329</v>
      </c>
      <c r="AT76" s="143">
        <f t="shared" si="55"/>
        <v>750000.0000000001</v>
      </c>
      <c r="AU76" s="120">
        <f t="shared" si="56"/>
        <v>500</v>
      </c>
      <c r="AV76" s="130">
        <f t="shared" si="57"/>
        <v>333.3333333333333</v>
      </c>
      <c r="AW76" s="582" t="str">
        <f>IF($D$10,IMDIV(COMPLEX(1,$B76/$D$49,"j"),COMPLEX(1,$B76/$D$50,"j")),COMPLEX(1,0,"j"))</f>
        <v>1</v>
      </c>
      <c r="AX76" s="149">
        <f>IMABS(AW76)</f>
        <v>1</v>
      </c>
      <c r="AY76" s="111"/>
    </row>
    <row r="77" spans="1:51" ht="15" customHeight="1">
      <c r="A77" s="118">
        <v>166.66666666666663</v>
      </c>
      <c r="B77" s="144">
        <f t="shared" si="58"/>
        <v>1047.1975511965975</v>
      </c>
      <c r="C77" s="199" t="s">
        <v>331</v>
      </c>
      <c r="D77" s="394">
        <f>$D$20/($D$23*$D$21*$D$17*$D$75)</f>
        <v>4699999.999999999</v>
      </c>
      <c r="E77" s="393" t="s">
        <v>57</v>
      </c>
      <c r="F77" s="637"/>
      <c r="G77" s="638"/>
      <c r="H77" s="718" t="str">
        <f>IMDIV(COMPLEX(0,$D$15*$D$23*$B77,"j"),COMPLEX(1,$B77*$D$16*$D$15*$D$23,"j"))</f>
        <v>1.38888792438339E-008+1.66666550926007E-005j</v>
      </c>
      <c r="I77" s="145">
        <f t="shared" si="52"/>
        <v>1E-05</v>
      </c>
      <c r="J77" s="150" t="str">
        <f>IMDIV(IF($D$12,$D$52/$D$19,$D$53)/$D$21,COMPLEX(1,$B77*IF($D$12,$D$52,$D$53*$D$19)*$D$17,"j"))</f>
        <v>5.72957795130816E-016-5.99999999999993E-009j</v>
      </c>
      <c r="K77" s="140" t="str">
        <f>IMSUM(IF($D$9,$H77,0),IF($D$7,$I77,0),IF($D$8,$J77,0))</f>
        <v>1.00138888798168E-005+1.66606550926007E-005j</v>
      </c>
      <c r="L77" s="139" t="str">
        <f>IMPRODUCT($D$22,$K77)</f>
        <v>4.00555555192672E-006+6.66426203704028E-006j</v>
      </c>
      <c r="M77" s="377">
        <f>IMABS($L77)</f>
        <v>7.775401197231382E-06</v>
      </c>
      <c r="N77" s="141">
        <f t="shared" si="38"/>
        <v>128610.72691092441</v>
      </c>
      <c r="O77" s="498">
        <f t="shared" si="39"/>
        <v>122.81419753509283</v>
      </c>
      <c r="P77" s="141">
        <f t="shared" si="40"/>
        <v>257.2214538218488</v>
      </c>
      <c r="Q77" s="141">
        <f t="shared" si="41"/>
        <v>269361.6765574687</v>
      </c>
      <c r="R77" s="141">
        <f t="shared" si="42"/>
        <v>282074888.0771912</v>
      </c>
      <c r="S77" s="119" t="str">
        <f>IMDIV(1/$D$37,COMPLEX(1-$B77*$B77*$D$40*$D$40,$B77*2*$D$26*$D$40,"j"))</f>
        <v>-5.01017039490342E-004-3.30340905158468E-006j</v>
      </c>
      <c r="T77" s="111">
        <f>IMABS($S77)</f>
        <v>0.000501027929731496</v>
      </c>
      <c r="U77" s="111">
        <f t="shared" si="43"/>
        <v>1.002055859462992E-06</v>
      </c>
      <c r="V77" s="143">
        <f t="shared" si="44"/>
        <v>1.098877213410369</v>
      </c>
      <c r="W77" s="144">
        <f t="shared" si="45"/>
        <v>0.001049350442191847</v>
      </c>
      <c r="X77" s="22" t="str">
        <f>IMPRODUCT(IMDIV($D$28,COMPLEX(1,$B77*$D$29,"j")),$AW77)</f>
        <v>5000000000</v>
      </c>
      <c r="Y77" s="124">
        <f>IMABS($X77)</f>
        <v>5000000000</v>
      </c>
      <c r="Z77" s="111" t="str">
        <f>IMPRODUCT($S77,$X77)</f>
        <v>-2505085.19745171-16517.0452579234j</v>
      </c>
      <c r="AA77" s="197">
        <f>IMABS($Z77)</f>
        <v>2505139.6486574803</v>
      </c>
      <c r="AB77" s="111">
        <f t="shared" si="46"/>
        <v>5010.279297314961</v>
      </c>
      <c r="AC77" s="111">
        <f t="shared" si="47"/>
        <v>5494386067.051846</v>
      </c>
      <c r="AD77" s="145">
        <f t="shared" si="48"/>
        <v>5246752.210959236</v>
      </c>
      <c r="AE77" s="119" t="str">
        <f>IMPRODUCT($L77,$Z77)</f>
        <v>-9.92418400302568-16.7607041232633j</v>
      </c>
      <c r="AF77" s="141">
        <f>IMABS($AE77)</f>
        <v>19.47846582340319</v>
      </c>
      <c r="AG77" s="111">
        <f t="shared" si="59"/>
        <v>18.47846582340319</v>
      </c>
      <c r="AH77" s="106">
        <f>IF(AND(IMREAL(AE77)&lt;0,IMAGINARY(AE77)&gt;0),180/PI()*IMARGUMENT($AE77)-360,180/PI()*IMARGUMENT($AE77))</f>
        <v>-120.63020825439877</v>
      </c>
      <c r="AI77" s="111" t="str">
        <f>IMDIV($Z77,IMSUM(1,IMPRODUCT($Z77,$L77)))</f>
        <v>62770.5139644788-116039.849314489j</v>
      </c>
      <c r="AJ77" s="141">
        <f>IMABS($AI77)</f>
        <v>131929.4662018085</v>
      </c>
      <c r="AK77" s="147">
        <f>180/PI()*IMARGUMENT($AI77)</f>
        <v>-61.58930277159694</v>
      </c>
      <c r="AL77" s="144">
        <f t="shared" si="49"/>
        <v>125.9833601129578</v>
      </c>
      <c r="AM77" s="146">
        <f t="shared" si="50"/>
        <v>263.858932403617</v>
      </c>
      <c r="AN77" s="119" t="str">
        <f>IMPRODUCT($AI77,COMPLEX(0,$B77,"j"),$D$24)</f>
        <v>243033.292086711+131466.257021908j</v>
      </c>
      <c r="AO77" s="142">
        <f>IMABS(AN77)</f>
        <v>276312.42787441716</v>
      </c>
      <c r="AP77" s="132">
        <f>180/PI()*IMARGUMENT($AN77)</f>
        <v>28.41069722840297</v>
      </c>
      <c r="AQ77" s="133">
        <f t="shared" si="51"/>
        <v>289353697.8352752</v>
      </c>
      <c r="AR77" s="133">
        <f t="shared" si="53"/>
        <v>4.796331726779699E-07</v>
      </c>
      <c r="AS77" s="779">
        <f t="shared" si="54"/>
        <v>0.625478005044957</v>
      </c>
      <c r="AT77" s="143">
        <f t="shared" si="55"/>
        <v>833333.3333333333</v>
      </c>
      <c r="AU77" s="120">
        <f t="shared" si="56"/>
        <v>500</v>
      </c>
      <c r="AV77" s="130">
        <f t="shared" si="57"/>
        <v>300.00000000000006</v>
      </c>
      <c r="AW77" s="582" t="str">
        <f>IF($D$10,IMDIV(COMPLEX(1,$B77/$D$49,"j"),COMPLEX(1,$B77/$D$50,"j")),COMPLEX(1,0,"j"))</f>
        <v>1</v>
      </c>
      <c r="AX77" s="149">
        <f>IMABS(AW77)</f>
        <v>1</v>
      </c>
      <c r="AY77" s="111"/>
    </row>
    <row r="78" spans="1:51" ht="15" customHeight="1">
      <c r="A78" s="118">
        <v>200</v>
      </c>
      <c r="B78" s="144">
        <f t="shared" si="58"/>
        <v>1256.6370614359173</v>
      </c>
      <c r="C78" s="719" t="s">
        <v>557</v>
      </c>
      <c r="D78" s="720">
        <f>$D$20/($D$23*$D$19*$D$17*$D$75)</f>
        <v>7696.080420304415</v>
      </c>
      <c r="E78" s="721" t="s">
        <v>57</v>
      </c>
      <c r="F78" s="639"/>
      <c r="G78" s="640"/>
      <c r="H78" s="718" t="str">
        <f>IMDIV(COMPLEX(0,$D$15*$D$23*$B78,"j"),COMPLEX(1,$B78*$D$16*$D$15*$D$23,"j"))</f>
        <v>1.999998000002E-008+1.999998000002E-005j</v>
      </c>
      <c r="I78" s="145">
        <f t="shared" si="52"/>
        <v>1E-05</v>
      </c>
      <c r="J78" s="150" t="str">
        <f>IMDIV(IF($D$12,$D$52/$D$19,$D$53)/$D$21,COMPLEX(1,$B78*IF($D$12,$D$52,$D$53*$D$19)*$D$17,"j"))</f>
        <v>3.97887357729734E-016-4.99999999999996E-009j</v>
      </c>
      <c r="K78" s="140" t="str">
        <f>IMSUM(IF($D$9,$H78,0),IF($D$7,$I78,0),IF($D$8,$J78,0))</f>
        <v>1.00199999803979E-005+1.999498000002E-005j</v>
      </c>
      <c r="L78" s="139" t="str">
        <f>IMPRODUCT($D$22,$K78)</f>
        <v>4.00799999215916E-006+7.997992000008E-006j</v>
      </c>
      <c r="M78" s="377">
        <f>IMABS($L78)</f>
        <v>8.946057230385897E-06</v>
      </c>
      <c r="N78" s="141">
        <f t="shared" si="38"/>
        <v>111781.08682374973</v>
      </c>
      <c r="O78" s="498">
        <f t="shared" si="39"/>
        <v>88.9525625609205</v>
      </c>
      <c r="P78" s="141">
        <f t="shared" si="40"/>
        <v>223.56217364749946</v>
      </c>
      <c r="Q78" s="141">
        <f t="shared" si="41"/>
        <v>280936.51294062</v>
      </c>
      <c r="R78" s="141">
        <f t="shared" si="42"/>
        <v>353035234.0717543</v>
      </c>
      <c r="S78" s="119" t="str">
        <f>IMDIV(1/$D$37,COMPLEX(1-$B78*$B78*$D$40*$D$40,$B78*2*$D$26*$D$40,"j"))</f>
        <v>-3.3772767233178E-004-1.80121425243616E-006j</v>
      </c>
      <c r="T78" s="111">
        <f>IMABS($S78)</f>
        <v>0.00033773247553563066</v>
      </c>
      <c r="U78" s="111">
        <f t="shared" si="43"/>
        <v>6.754649510712614E-07</v>
      </c>
      <c r="V78" s="143">
        <f t="shared" si="44"/>
        <v>1.0666514966199248</v>
      </c>
      <c r="W78" s="144">
        <f t="shared" si="45"/>
        <v>0.0008488142912171455</v>
      </c>
      <c r="X78" s="22" t="str">
        <f>IMPRODUCT(IMDIV($D$28,COMPLEX(1,$B78*$D$29,"j")),$AW78)</f>
        <v>5000000000</v>
      </c>
      <c r="Y78" s="124">
        <f>IMABS($X78)</f>
        <v>5000000000</v>
      </c>
      <c r="Z78" s="111" t="str">
        <f>IMPRODUCT($S78,$X78)</f>
        <v>-1688638.3616589-9006.0712621808j</v>
      </c>
      <c r="AA78" s="197">
        <f>IMABS($Z78)</f>
        <v>1688662.3776781533</v>
      </c>
      <c r="AB78" s="111">
        <f t="shared" si="46"/>
        <v>3377.324755356307</v>
      </c>
      <c r="AC78" s="111">
        <f t="shared" si="47"/>
        <v>5333257483.099624</v>
      </c>
      <c r="AD78" s="145">
        <f t="shared" si="48"/>
        <v>4244071.456085728</v>
      </c>
      <c r="AE78" s="119" t="str">
        <f>IMPRODUCT($L78,$Z78)</f>
        <v>-6.6960320543821-13.5418124410027j</v>
      </c>
      <c r="AF78" s="141">
        <f>IMABS($AE78)</f>
        <v>15.106870273508278</v>
      </c>
      <c r="AG78" s="111">
        <f t="shared" si="59"/>
        <v>14.106870273508278</v>
      </c>
      <c r="AH78" s="106">
        <f>IF(AND(IMREAL(AE78)&lt;0,IMAGINARY(AE78)&gt;0),180/PI()*IMARGUMENT($AE78)-360,180/PI()*IMARGUMENT($AE78))</f>
        <v>-116.31105537013543</v>
      </c>
      <c r="AI78" s="111" t="str">
        <f>IMDIV($Z78,IMSUM(1,IMPRODUCT($Z78,$L78)))</f>
        <v>45131.3599544518-105714.703621644j</v>
      </c>
      <c r="AJ78" s="141">
        <f>IMABS($AI78)</f>
        <v>114945.37055988958</v>
      </c>
      <c r="AK78" s="147">
        <f>180/PI()*IMARGUMENT($AI78)</f>
        <v>-66.88156038962508</v>
      </c>
      <c r="AL78" s="144">
        <f t="shared" si="49"/>
        <v>91.47061955068024</v>
      </c>
      <c r="AM78" s="146">
        <f t="shared" si="50"/>
        <v>229.89074111977916</v>
      </c>
      <c r="AN78" s="119" t="str">
        <f>IMPRODUCT($AI78,COMPLEX(0,$B78,"j"),$D$24)</f>
        <v>265690.029019344+113427.479103538j</v>
      </c>
      <c r="AO78" s="142">
        <f>IMABS(AN78)</f>
        <v>288889.2253720852</v>
      </c>
      <c r="AP78" s="132">
        <f>180/PI()*IMARGUMENT($AN78)</f>
        <v>23.11843961037489</v>
      </c>
      <c r="AQ78" s="133">
        <f t="shared" si="51"/>
        <v>363028907.25207466</v>
      </c>
      <c r="AR78" s="133">
        <f t="shared" si="53"/>
        <v>4.110610775384601E-07</v>
      </c>
      <c r="AS78" s="779">
        <f t="shared" si="54"/>
        <v>0.7298185510447194</v>
      </c>
      <c r="AT78" s="143">
        <f t="shared" si="55"/>
        <v>1000000.0000000002</v>
      </c>
      <c r="AU78" s="120">
        <f t="shared" si="56"/>
        <v>500</v>
      </c>
      <c r="AV78" s="130">
        <f t="shared" si="57"/>
        <v>250.00000000000003</v>
      </c>
      <c r="AW78" s="582" t="str">
        <f>IF($D$10,IMDIV(COMPLEX(1,$B78/$D$49,"j"),COMPLEX(1,$B78/$D$50,"j")),COMPLEX(1,0,"j"))</f>
        <v>1</v>
      </c>
      <c r="AX78" s="149">
        <f>IMABS(AW78)</f>
        <v>1</v>
      </c>
      <c r="AY78" s="111"/>
    </row>
    <row r="79" spans="1:51" ht="15" customHeight="1" thickBot="1">
      <c r="A79" s="118">
        <v>250</v>
      </c>
      <c r="B79" s="144">
        <f t="shared" si="58"/>
        <v>1570.7963267948965</v>
      </c>
      <c r="C79" s="648" t="s">
        <v>631</v>
      </c>
      <c r="D79" s="649">
        <f>$D$20/($D$19*$D$21*$D$17*$D$75)</f>
        <v>9.999999999999998</v>
      </c>
      <c r="E79" s="4" t="s">
        <v>411</v>
      </c>
      <c r="F79" s="12"/>
      <c r="G79" s="5"/>
      <c r="H79" s="139" t="str">
        <f>IMDIV(COMPLEX(0,$D$15*$D$23*$B79,"j"),COMPLEX(1,$B79*$D$16*$D$15*$D$23,"j"))</f>
        <v>3.12499511719513E-008+2.4999960937561E-005j</v>
      </c>
      <c r="I79" s="145">
        <f t="shared" si="52"/>
        <v>1E-05</v>
      </c>
      <c r="J79" s="150" t="str">
        <f>IMDIV(IF($D$12,$D$52/$D$19,$D$53)/$D$21,COMPLEX(1,$B79*IF($D$12,$D$52,$D$53*$D$19)*$D$17,"j"))</f>
        <v>2.5464790894703E-016-3.99999999999997E-009j</v>
      </c>
      <c r="K79" s="140" t="str">
        <f>IMSUM(IF($D$9,$H79,0),IF($D$7,$I79,0),IF($D$8,$J79,0))</f>
        <v>1.00312499514266E-005+2.4995960937561E-005j</v>
      </c>
      <c r="L79" s="139" t="str">
        <f>IMPRODUCT($D$22,$K79)</f>
        <v>4.01249998057064E-006+9.9983843750244E-006j</v>
      </c>
      <c r="M79" s="377">
        <f>IMABS($L79)</f>
        <v>1.0773478834843063E-05</v>
      </c>
      <c r="N79" s="141">
        <f t="shared" si="38"/>
        <v>92820.52857112861</v>
      </c>
      <c r="O79" s="498">
        <f t="shared" si="39"/>
        <v>59.091383769990486</v>
      </c>
      <c r="P79" s="141">
        <f t="shared" si="40"/>
        <v>185.64105714225724</v>
      </c>
      <c r="Q79" s="141">
        <f t="shared" si="41"/>
        <v>291604.2906613792</v>
      </c>
      <c r="R79" s="141">
        <f t="shared" si="42"/>
        <v>458050948.6485257</v>
      </c>
      <c r="S79" s="119" t="str">
        <f>IMDIV(1/$D$37,COMPLEX(1-$B79*$B79*$D$40*$D$40,$B79*2*$D$26*$D$40,"j"))</f>
        <v>-2.11082134634477E-004-8.79508894310322E-007j</v>
      </c>
      <c r="T79" s="111">
        <f>IMABS($S79)</f>
        <v>0.0002110839669367208</v>
      </c>
      <c r="U79" s="111">
        <f t="shared" si="43"/>
        <v>4.2216793387344163E-07</v>
      </c>
      <c r="V79" s="143">
        <f t="shared" si="44"/>
        <v>1.04165762453903</v>
      </c>
      <c r="W79" s="144">
        <f t="shared" si="45"/>
        <v>0.0006631398398189929</v>
      </c>
      <c r="X79" s="22" t="str">
        <f>IMPRODUCT(IMDIV($D$28,COMPLEX(1,$B79*$D$29,"j")),$AW79)</f>
        <v>5000000000</v>
      </c>
      <c r="Y79" s="124">
        <f>IMABS($X79)</f>
        <v>5000000000</v>
      </c>
      <c r="Z79" s="111" t="str">
        <f>IMPRODUCT($S79,$X79)</f>
        <v>-1055410.67317239-4397.54447155161j</v>
      </c>
      <c r="AA79" s="197">
        <f>IMABS($Z79)</f>
        <v>1055419.8346836092</v>
      </c>
      <c r="AB79" s="111">
        <f t="shared" si="46"/>
        <v>2110.8396693672184</v>
      </c>
      <c r="AC79" s="111">
        <f t="shared" si="47"/>
        <v>5208288122.695175</v>
      </c>
      <c r="AD79" s="145">
        <f t="shared" si="48"/>
        <v>3315699.1990949805</v>
      </c>
      <c r="AE79" s="119" t="str">
        <f>IMPRODUCT($L79,$Z79)</f>
        <v>-4.19086696566542-10.5700467309875j</v>
      </c>
      <c r="AF79" s="141">
        <f>IMABS($AE79)</f>
        <v>11.370543250837455</v>
      </c>
      <c r="AG79" s="111">
        <f t="shared" si="59"/>
        <v>10.370543250837455</v>
      </c>
      <c r="AH79" s="106">
        <f>IF(AND(IMREAL(AE79)&lt;0,IMAGINARY(AE79)&gt;0),180/PI()*IMARGUMENT($AE79)-360,180/PI()*IMARGUMENT($AE79))</f>
        <v>-111.62759254913408</v>
      </c>
      <c r="AI79" s="111" t="str">
        <f>IMDIV($Z79,IMSUM(1,IMPRODUCT($Z79,$L79)))</f>
        <v>28006.1255117297-91394.7569984376j</v>
      </c>
      <c r="AJ79" s="141">
        <f>IMABS($AI79)</f>
        <v>95589.45900559441</v>
      </c>
      <c r="AK79" s="147">
        <f>180/PI()*IMARGUMENT($AI79)</f>
        <v>-72.96334696446678</v>
      </c>
      <c r="AL79" s="144">
        <f t="shared" si="49"/>
        <v>60.85413963288177</v>
      </c>
      <c r="AM79" s="146">
        <f t="shared" si="50"/>
        <v>191.17891801118884</v>
      </c>
      <c r="AN79" s="119" t="str">
        <f>IMPRODUCT($AI79,COMPLEX(0,$B79,"j"),$D$24)</f>
        <v>287125.097162917+87983.8381631639j</v>
      </c>
      <c r="AO79" s="142">
        <f>IMABS(AN79)</f>
        <v>300303.14217259927</v>
      </c>
      <c r="AP79" s="132">
        <f>180/PI()*IMARGUMENT($AN79)</f>
        <v>17.036653035533185</v>
      </c>
      <c r="AQ79" s="133">
        <f t="shared" si="51"/>
        <v>471715072.64968264</v>
      </c>
      <c r="AR79" s="133">
        <f t="shared" si="53"/>
        <v>3.345115896625911E-07</v>
      </c>
      <c r="AS79" s="779">
        <f t="shared" si="54"/>
        <v>0.8968299134346837</v>
      </c>
      <c r="AT79" s="143">
        <f t="shared" si="55"/>
        <v>1250000</v>
      </c>
      <c r="AU79" s="120">
        <f t="shared" si="56"/>
        <v>500</v>
      </c>
      <c r="AV79" s="130">
        <f t="shared" si="57"/>
        <v>200.00000000000003</v>
      </c>
      <c r="AW79" s="582" t="str">
        <f>IF($D$10,IMDIV(COMPLEX(1,$B79/$D$49,"j"),COMPLEX(1,$B79/$D$50,"j")),COMPLEX(1,0,"j"))</f>
        <v>1</v>
      </c>
      <c r="AX79" s="149">
        <f>IMABS(AW79)</f>
        <v>1</v>
      </c>
      <c r="AY79" s="111"/>
    </row>
    <row r="80" spans="1:51" ht="15" customHeight="1">
      <c r="A80" s="118">
        <v>300</v>
      </c>
      <c r="B80" s="144">
        <f t="shared" si="58"/>
        <v>1884.9555921538758</v>
      </c>
      <c r="H80" s="139" t="str">
        <f>IMDIV(COMPLEX(0,$D$15*$D$23*$B80,"j"),COMPLEX(1,$B80*$D$16*$D$15*$D$23,"j"))</f>
        <v>4.49998987502278E-008+2.99999325001519E-005j</v>
      </c>
      <c r="I80" s="145">
        <f t="shared" si="52"/>
        <v>1E-05</v>
      </c>
      <c r="J80" s="150" t="str">
        <f>IMDIV(IF($D$12,$D$52/$D$19,$D$53)/$D$21,COMPLEX(1,$B80*IF($D$12,$D$52,$D$53*$D$19)*$D$17,"j"))</f>
        <v>1.7683882565766E-016-3.33333333333332E-009j</v>
      </c>
      <c r="K80" s="140" t="str">
        <f>IMSUM(IF($D$9,$H80,0),IF($D$7,$I80,0),IF($D$8,$J80,0))</f>
        <v>1.00449998989271E-005+2.99965991668186E-005j</v>
      </c>
      <c r="L80" s="139" t="str">
        <f>IMPRODUCT($D$22,$K80)</f>
        <v>4.01799995957084E-006+1.19986396667274E-005j</v>
      </c>
      <c r="M80" s="377">
        <f>IMABS($L80)</f>
        <v>1.2653524312501851E-05</v>
      </c>
      <c r="N80" s="141">
        <f t="shared" si="38"/>
        <v>79029.36567735414</v>
      </c>
      <c r="O80" s="498">
        <f t="shared" si="39"/>
        <v>41.92638065655962</v>
      </c>
      <c r="P80" s="141">
        <f t="shared" si="40"/>
        <v>158.0587313547083</v>
      </c>
      <c r="Q80" s="141">
        <f t="shared" si="41"/>
        <v>297933.6895558046</v>
      </c>
      <c r="R80" s="141">
        <f t="shared" si="42"/>
        <v>561591774.2192507</v>
      </c>
      <c r="S80" s="119" t="str">
        <f>IMDIV(1/$D$37,COMPLEX(1-$B80*$B80*$D$40*$D$40,$B80*2*$D$26*$D$40,"j"))</f>
        <v>-1.44742846593551E-004-4.96261188320747E-007j</v>
      </c>
      <c r="T80" s="111">
        <f>IMABS($S80)</f>
        <v>0.0001447436973245166</v>
      </c>
      <c r="U80" s="111">
        <f t="shared" si="43"/>
        <v>2.894873946490332E-07</v>
      </c>
      <c r="V80" s="143">
        <f t="shared" si="44"/>
        <v>1.0285653831436763</v>
      </c>
      <c r="W80" s="144">
        <f t="shared" si="45"/>
        <v>0.0005456708834017511</v>
      </c>
      <c r="X80" s="22" t="str">
        <f>IMPRODUCT(IMDIV($D$28,COMPLEX(1,$B80*$D$29,"j")),$AW80)</f>
        <v>5000000000</v>
      </c>
      <c r="Y80" s="124">
        <f>IMABS($X80)</f>
        <v>5000000000</v>
      </c>
      <c r="Z80" s="111" t="str">
        <f>IMPRODUCT($S80,$X80)</f>
        <v>-723714.232967755-2481.30594160373j</v>
      </c>
      <c r="AA80" s="197">
        <f>IMABS($Z80)</f>
        <v>723718.4866225829</v>
      </c>
      <c r="AB80" s="111">
        <f t="shared" si="46"/>
        <v>1447.4369732451657</v>
      </c>
      <c r="AC80" s="111">
        <f t="shared" si="47"/>
        <v>5142826915.718381</v>
      </c>
      <c r="AD80" s="145">
        <f t="shared" si="48"/>
        <v>2728354.4170087553</v>
      </c>
      <c r="AE80" s="119" t="str">
        <f>IMPRODUCT($L80,$Z80)</f>
        <v>-2.87811146290907-8.69355619023514j</v>
      </c>
      <c r="AF80" s="141">
        <f>IMABS($AE80)</f>
        <v>9.157589465885897</v>
      </c>
      <c r="AG80" s="111">
        <f t="shared" si="59"/>
        <v>8.157589465885897</v>
      </c>
      <c r="AH80" s="106">
        <f>IF(AND(IMREAL(AE80)&lt;0,IMAGINARY(AE80)&gt;0),180/PI()*IMARGUMENT($AE80)-360,180/PI()*IMARGUMENT($AE80))</f>
        <v>-108.31777694802356</v>
      </c>
      <c r="AI80" s="111" t="str">
        <f>IMDIV($Z80,IMSUM(1,IMPRODUCT($Z80,$L80)))</f>
        <v>17455.0723235841-79476.2978960209j</v>
      </c>
      <c r="AJ80" s="141">
        <f>IMABS($AI80)</f>
        <v>81370.51970510333</v>
      </c>
      <c r="AK80" s="147">
        <f>180/PI()*IMARGUMENT($AI80)</f>
        <v>-77.61301492120405</v>
      </c>
      <c r="AL80" s="144">
        <f t="shared" si="49"/>
        <v>43.16840144341223</v>
      </c>
      <c r="AM80" s="146">
        <f t="shared" si="50"/>
        <v>162.74103941020667</v>
      </c>
      <c r="AN80" s="119" t="str">
        <f>IMPRODUCT($AI80,COMPLEX(0,$B80,"j"),$D$24)</f>
        <v>299618.584325584+65804.0723755805j</v>
      </c>
      <c r="AO80" s="142">
        <f>IMABS(AN80)</f>
        <v>306759.6323092035</v>
      </c>
      <c r="AP80" s="132">
        <f>180/PI()*IMARGUMENT($AN80)</f>
        <v>12.386985078795954</v>
      </c>
      <c r="AQ80" s="133">
        <f t="shared" si="51"/>
        <v>578228284.3682996</v>
      </c>
      <c r="AR80" s="133">
        <f t="shared" si="53"/>
        <v>2.7935323157917613E-07</v>
      </c>
      <c r="AS80" s="779">
        <f t="shared" si="54"/>
        <v>1.0739091805171117</v>
      </c>
      <c r="AT80" s="143">
        <f t="shared" si="55"/>
        <v>1500000.0000000002</v>
      </c>
      <c r="AU80" s="120">
        <f t="shared" si="56"/>
        <v>500</v>
      </c>
      <c r="AV80" s="130">
        <f t="shared" si="57"/>
        <v>166.66666666666666</v>
      </c>
      <c r="AW80" s="582" t="str">
        <f>IF($D$10,IMDIV(COMPLEX(1,$B80/$D$49,"j"),COMPLEX(1,$B80/$D$50,"j")),COMPLEX(1,0,"j"))</f>
        <v>1</v>
      </c>
      <c r="AX80" s="149">
        <f>IMABS(AW80)</f>
        <v>1</v>
      </c>
      <c r="AY80" s="111"/>
    </row>
    <row r="81" spans="1:51" ht="15" customHeight="1">
      <c r="A81" s="118">
        <v>333.333333</v>
      </c>
      <c r="B81" s="130">
        <f t="shared" si="58"/>
        <v>2094.3951002988</v>
      </c>
      <c r="H81" s="139" t="str">
        <f>IMDIV(COMPLEX(0,$D$15*$D$23*$B81,"j"),COMPLEX(1,$B81*$D$16*$D$15*$D$23,"j"))</f>
        <v>5.55554011238861E-008+3.33332407076649E-005j</v>
      </c>
      <c r="I81" s="145">
        <f t="shared" si="52"/>
        <v>1E-05</v>
      </c>
      <c r="J81" s="150" t="str">
        <f>IMDIV(IF($D$12,$D$52/$D$19,$D$53)/$D$21,COMPLEX(1,$B81*IF($D$12,$D$52,$D$53*$D$19)*$D$17,"j"))</f>
        <v>1.43239449069184E-016-3.00000000299999E-009j</v>
      </c>
      <c r="K81" s="140" t="str">
        <f>IMSUM(IF($D$9,$H81,0),IF($D$7,$I81,0),IF($D$8,$J81,0))</f>
        <v>1.00555554012671E-005+3.33302407076619E-005j</v>
      </c>
      <c r="L81" s="139" t="str">
        <f>IMPRODUCT($D$22,$K81)</f>
        <v>4.02222216050684E-006+1.33320962830648E-005j</v>
      </c>
      <c r="M81" s="377">
        <f>IMABS($L81)</f>
        <v>1.3925626104753156E-05</v>
      </c>
      <c r="N81" s="141">
        <f t="shared" si="38"/>
        <v>71810.05668812805</v>
      </c>
      <c r="O81" s="498">
        <f t="shared" si="39"/>
        <v>34.28677649116118</v>
      </c>
      <c r="P81" s="141">
        <f t="shared" si="40"/>
        <v>143.6201133762561</v>
      </c>
      <c r="Q81" s="141">
        <f t="shared" si="41"/>
        <v>300797.26175958896</v>
      </c>
      <c r="R81" s="141">
        <f t="shared" si="42"/>
        <v>629988311.2125788</v>
      </c>
      <c r="S81" s="119" t="str">
        <f>IMDIV(1/$D$37,COMPLEX(1-$B81*$B81*$D$40*$D$40,$B81*2*$D$26*$D$40,"j"))</f>
        <v>-1.1660895978861E-004-3.57879160850907E-007j</v>
      </c>
      <c r="T81" s="111">
        <f>IMABS($S81)</f>
        <v>0.00011660950896250029</v>
      </c>
      <c r="U81" s="111">
        <f t="shared" si="43"/>
        <v>2.3321901792500058E-07</v>
      </c>
      <c r="V81" s="143">
        <f t="shared" si="44"/>
        <v>1.0230130849452286</v>
      </c>
      <c r="W81" s="144">
        <f t="shared" si="45"/>
        <v>0.0004884527684386193</v>
      </c>
      <c r="X81" s="22" t="str">
        <f>IMPRODUCT(IMDIV($D$28,COMPLEX(1,$B81*$D$29,"j")),$AW81)</f>
        <v>5000000000</v>
      </c>
      <c r="Y81" s="124">
        <f>IMABS($X81)</f>
        <v>5000000000</v>
      </c>
      <c r="Z81" s="111" t="str">
        <f>IMPRODUCT($S81,$X81)</f>
        <v>-583044.79894305-1789.39580425454j</v>
      </c>
      <c r="AA81" s="197">
        <f>IMABS($Z81)</f>
        <v>583047.5448125014</v>
      </c>
      <c r="AB81" s="111">
        <f t="shared" si="46"/>
        <v>1166.0950896250029</v>
      </c>
      <c r="AC81" s="111">
        <f t="shared" si="47"/>
        <v>5115065424.726142</v>
      </c>
      <c r="AD81" s="145">
        <f t="shared" si="48"/>
        <v>2442263.842193096</v>
      </c>
      <c r="AE81" s="119" t="str">
        <f>IMPRODUCT($L81,$Z81)</f>
        <v>-2.32127931372616-7.78040674430669j</v>
      </c>
      <c r="AF81" s="141">
        <f>IMABS($AE81)</f>
        <v>8.119302110353205</v>
      </c>
      <c r="AG81" s="111">
        <f t="shared" si="59"/>
        <v>7.119302110353205</v>
      </c>
      <c r="AH81" s="106">
        <f>IF(AND(IMREAL(AE81)&lt;0,IMAGINARY(AE81)&gt;0),180/PI()*IMARGUMENT($AE81)-360,180/PI()*IMARGUMENT($AE81))</f>
        <v>-106.61243868072431</v>
      </c>
      <c r="AI81" s="111" t="str">
        <f>IMDIV($Z81,IMSUM(1,IMPRODUCT($Z81,$L81)))</f>
        <v>12592.8204911854-72799.043075871j</v>
      </c>
      <c r="AJ81" s="141">
        <f>IMABS($AI81)</f>
        <v>73880.17190481989</v>
      </c>
      <c r="AK81" s="147">
        <f>180/PI()*IMARGUMENT($AI81)</f>
        <v>-80.18605910793333</v>
      </c>
      <c r="AL81" s="144">
        <f t="shared" si="49"/>
        <v>35.27518370066835</v>
      </c>
      <c r="AM81" s="146">
        <f t="shared" si="50"/>
        <v>147.76034380963978</v>
      </c>
      <c r="AN81" s="119" t="str">
        <f>IMPRODUCT($AI81,COMPLEX(0,$B81,"j"),$D$24)</f>
        <v>304939.918249091+52748.6830713621j</v>
      </c>
      <c r="AO81" s="142">
        <f>IMABS(AN81)</f>
        <v>309468.5400933758</v>
      </c>
      <c r="AP81" s="132">
        <f>180/PI()*IMARGUMENT($AN81)</f>
        <v>9.813940892066677</v>
      </c>
      <c r="AQ81" s="133">
        <f t="shared" si="51"/>
        <v>648149394.0681889</v>
      </c>
      <c r="AR81" s="133">
        <f t="shared" si="53"/>
        <v>2.5067848241429897E-07</v>
      </c>
      <c r="AS81" s="779">
        <f t="shared" si="54"/>
        <v>1.1967520989862497</v>
      </c>
      <c r="AT81" s="143">
        <f t="shared" si="55"/>
        <v>1666666.6649999998</v>
      </c>
      <c r="AU81" s="120">
        <f t="shared" si="56"/>
        <v>500</v>
      </c>
      <c r="AV81" s="130">
        <f t="shared" si="57"/>
        <v>150.00000015000003</v>
      </c>
      <c r="AW81" s="582" t="str">
        <f>IF($D$10,IMDIV(COMPLEX(1,$B81/$D$49,"j"),COMPLEX(1,$B81/$D$50,"j")),COMPLEX(1,0,"j"))</f>
        <v>1</v>
      </c>
      <c r="AX81" s="149">
        <f>IMABS(AW81)</f>
        <v>1</v>
      </c>
      <c r="AY81" s="111"/>
    </row>
    <row r="82" spans="1:51" ht="15" customHeight="1" thickBot="1">
      <c r="A82" s="118">
        <v>400</v>
      </c>
      <c r="B82" s="130">
        <f t="shared" si="58"/>
        <v>2513.2741228718346</v>
      </c>
      <c r="H82" s="139" t="str">
        <f>IMDIV(COMPLEX(0,$D$15*$D$23*$B82,"j"),COMPLEX(1,$B82*$D$16*$D$15*$D$23,"j"))</f>
        <v>7.999968000128E-008+3.999984000064E-005j</v>
      </c>
      <c r="I82" s="145">
        <f t="shared" si="52"/>
        <v>1E-05</v>
      </c>
      <c r="J82" s="150" t="str">
        <f>IMDIV(IF($D$12,$D$52/$D$19,$D$53)/$D$21,COMPLEX(1,$B82*IF($D$12,$D$52,$D$53*$D$19)*$D$17,"j"))</f>
        <v>9.94718394324348E-017-2.5E-009j</v>
      </c>
      <c r="K82" s="140" t="str">
        <f>IMSUM(IF($D$9,$H82,0),IF($D$7,$I82,0),IF($D$8,$J82,0))</f>
        <v>1.00799996801008E-005+3.999734000064E-005j</v>
      </c>
      <c r="L82" s="139" t="str">
        <f>IMPRODUCT($D$22,$K82)</f>
        <v>4.03199987204032E-006+1.5998936000256E-005j</v>
      </c>
      <c r="M82" s="377">
        <f>IMABS($L82)</f>
        <v>1.649918107387214E-05</v>
      </c>
      <c r="N82" s="141">
        <f t="shared" si="38"/>
        <v>60609.06874848384</v>
      </c>
      <c r="O82" s="498">
        <f t="shared" si="39"/>
        <v>24.115582218794295</v>
      </c>
      <c r="P82" s="141">
        <f t="shared" si="40"/>
        <v>121.21813749696769</v>
      </c>
      <c r="Q82" s="141">
        <f t="shared" si="41"/>
        <v>304654.4081938489</v>
      </c>
      <c r="R82" s="141">
        <f t="shared" si="42"/>
        <v>765680040.5324335</v>
      </c>
      <c r="S82" s="119" t="str">
        <f>IMDIV(1/$D$37,COMPLEX(1-$B82*$B82*$D$40*$D$40,$B82*2*$D$26*$D$40,"j"))</f>
        <v>-8.04131191477737E-005-2.04223794661013E-007j</v>
      </c>
      <c r="T82" s="111">
        <f>IMABS($S82)</f>
        <v>8.041337847915827E-05</v>
      </c>
      <c r="U82" s="111">
        <f t="shared" si="43"/>
        <v>1.6082675695831654E-07</v>
      </c>
      <c r="V82" s="143">
        <f t="shared" si="44"/>
        <v>1.015869739704787</v>
      </c>
      <c r="W82" s="144">
        <f t="shared" si="45"/>
        <v>0.0004042017265287347</v>
      </c>
      <c r="X82" s="22" t="str">
        <f>IMPRODUCT(IMDIV($D$28,COMPLEX(1,$B82*$D$29,"j")),$AW82)</f>
        <v>5000000000</v>
      </c>
      <c r="Y82" s="124">
        <f>IMABS($X82)</f>
        <v>5000000000</v>
      </c>
      <c r="Z82" s="111" t="str">
        <f>IMPRODUCT($S82,$X82)</f>
        <v>-402065.595738868-1021.11897330507j</v>
      </c>
      <c r="AA82" s="197">
        <f>IMABS($Z82)</f>
        <v>402066.89239579084</v>
      </c>
      <c r="AB82" s="111">
        <f t="shared" si="46"/>
        <v>804.1337847915817</v>
      </c>
      <c r="AC82" s="111">
        <f t="shared" si="47"/>
        <v>5079348698.523928</v>
      </c>
      <c r="AD82" s="145">
        <f t="shared" si="48"/>
        <v>2021008.632643671</v>
      </c>
      <c r="AE82" s="119" t="str">
        <f>IMPRODUCT($L82,$Z82)</f>
        <v>-1.60479161346838-6.43673888570065j</v>
      </c>
      <c r="AF82" s="141">
        <f>IMABS($AE82)</f>
        <v>6.633774461447215</v>
      </c>
      <c r="AG82" s="111">
        <f t="shared" si="59"/>
        <v>5.633774461447215</v>
      </c>
      <c r="AH82" s="106">
        <f>IF(AND(IMREAL(AE82)&lt;0,IMAGINARY(AE82)&gt;0),180/PI()*IMARGUMENT($AE82)-360,180/PI()*IMARGUMENT($AE82))</f>
        <v>-103.99943316710004</v>
      </c>
      <c r="AI82" s="111" t="str">
        <f>IMDIV($Z82,IMSUM(1,IMPRODUCT($Z82,$L82)))</f>
        <v>5974.98154928436-61902.7715870846j</v>
      </c>
      <c r="AJ82" s="141">
        <f>IMABS($AI82)</f>
        <v>62190.461766070344</v>
      </c>
      <c r="AK82" s="147">
        <f>180/PI()*IMARGUMENT($AI82)</f>
        <v>-84.48677370631691</v>
      </c>
      <c r="AL82" s="144">
        <f t="shared" si="49"/>
        <v>24.744798508094046</v>
      </c>
      <c r="AM82" s="146">
        <f t="shared" si="50"/>
        <v>124.38092353214068</v>
      </c>
      <c r="AN82" s="119" t="str">
        <f>IMPRODUCT($AI82,COMPLEX(0,$B82,"j"),$D$24)</f>
        <v>311157.267927731+30033.533024906j</v>
      </c>
      <c r="AO82" s="142">
        <f>IMABS(AN82)</f>
        <v>312603.35649222945</v>
      </c>
      <c r="AP82" s="132">
        <f>180/PI()*IMARGUMENT($AN82)</f>
        <v>5.513226293683083</v>
      </c>
      <c r="AQ82" s="133">
        <f t="shared" si="51"/>
        <v>785657926.5947999</v>
      </c>
      <c r="AR82" s="133">
        <f t="shared" si="53"/>
        <v>2.0650647719117435E-07</v>
      </c>
      <c r="AS82" s="779">
        <f t="shared" si="54"/>
        <v>1.4527389362333345</v>
      </c>
      <c r="AT82" s="143">
        <f t="shared" si="55"/>
        <v>2000000.0000000005</v>
      </c>
      <c r="AU82" s="120">
        <f t="shared" si="56"/>
        <v>500</v>
      </c>
      <c r="AV82" s="130">
        <f t="shared" si="57"/>
        <v>125.00000000000001</v>
      </c>
      <c r="AW82" s="582" t="str">
        <f>IF($D$10,IMDIV(COMPLEX(1,$B82/$D$49,"j"),COMPLEX(1,$B82/$D$50,"j")),COMPLEX(1,0,"j"))</f>
        <v>1</v>
      </c>
      <c r="AX82" s="149">
        <f>IMABS(AW82)</f>
        <v>1</v>
      </c>
      <c r="AY82" s="111"/>
    </row>
    <row r="83" spans="1:51" ht="15" customHeight="1" thickBot="1">
      <c r="A83" s="118">
        <v>500</v>
      </c>
      <c r="B83" s="130">
        <f t="shared" si="58"/>
        <v>3141.592653589793</v>
      </c>
      <c r="C83" s="627" t="s">
        <v>387</v>
      </c>
      <c r="D83" s="628"/>
      <c r="E83" s="628"/>
      <c r="F83" s="628"/>
      <c r="G83" s="262"/>
      <c r="H83" s="139" t="str">
        <f>IMDIV(COMPLEX(0,$D$15*$D$23*$B83,"j"),COMPLEX(1,$B83*$D$16*$D$15*$D$23,"j"))</f>
        <v>1.24999218754883E-007+4.99996875019531E-005j</v>
      </c>
      <c r="I83" s="145">
        <f t="shared" si="52"/>
        <v>1E-05</v>
      </c>
      <c r="J83" s="150" t="str">
        <f>IMDIV(IF($D$12,$D$52/$D$19,$D$53)/$D$21,COMPLEX(1,$B83*IF($D$12,$D$52,$D$53*$D$19)*$D$17,"j"))</f>
        <v>6.36619772367582E-017-2E-009j</v>
      </c>
      <c r="K83" s="140" t="str">
        <f>IMSUM(IF($D$9,$H83,0),IF($D$7,$I83,0),IF($D$8,$J83,0))</f>
        <v>1.01249992188185E-005+4.99976875019531E-005j</v>
      </c>
      <c r="L83" s="139" t="str">
        <f>IMPRODUCT($D$22,$K83)</f>
        <v>4.0499996875274E-006+1.99990750007812E-005j</v>
      </c>
      <c r="M83" s="377">
        <f>IMABS($L83)</f>
        <v>2.0405036102782163E-05</v>
      </c>
      <c r="N83" s="141">
        <f t="shared" si="38"/>
        <v>49007.50946790303</v>
      </c>
      <c r="O83" s="498">
        <f t="shared" si="39"/>
        <v>15.599574760879259</v>
      </c>
      <c r="P83" s="141">
        <f t="shared" si="40"/>
        <v>98.01501893580607</v>
      </c>
      <c r="Q83" s="141">
        <f t="shared" si="41"/>
        <v>307923.2634301928</v>
      </c>
      <c r="R83" s="141">
        <f t="shared" si="42"/>
        <v>967369462.2616881</v>
      </c>
      <c r="S83" s="119" t="str">
        <f>IMDIV(1/$D$37,COMPLEX(1-$B83*$B83*$D$40*$D$40,$B83*2*$D$26*$D$40,"j"))</f>
        <v>-5.1172106126449E-005-1.03377992174645E-007j</v>
      </c>
      <c r="T83" s="111">
        <f>IMABS($S83)</f>
        <v>5.117221054855677E-05</v>
      </c>
      <c r="U83" s="111">
        <f t="shared" si="43"/>
        <v>1.0234442109711354E-07</v>
      </c>
      <c r="V83" s="143">
        <f t="shared" si="44"/>
        <v>1.0100989488870142</v>
      </c>
      <c r="W83" s="144">
        <f t="shared" si="45"/>
        <v>0.00032152448145459213</v>
      </c>
      <c r="X83" s="22" t="str">
        <f>IMPRODUCT(IMDIV($D$28,COMPLEX(1,$B83*$D$29,"j")),$AW83)</f>
        <v>5000000000</v>
      </c>
      <c r="Y83" s="124">
        <f>IMABS($X83)</f>
        <v>5000000000</v>
      </c>
      <c r="Z83" s="111" t="str">
        <f>IMPRODUCT($S83,$X83)</f>
        <v>-255860.530632245-516.889960873225j</v>
      </c>
      <c r="AA83" s="197">
        <f>IMABS($Z83)</f>
        <v>255861.05274278385</v>
      </c>
      <c r="AB83" s="111">
        <f t="shared" si="46"/>
        <v>511.72210548556774</v>
      </c>
      <c r="AC83" s="111">
        <f t="shared" si="47"/>
        <v>5050494744.435072</v>
      </c>
      <c r="AD83" s="145">
        <f t="shared" si="48"/>
        <v>1607622.4072729608</v>
      </c>
      <c r="AE83" s="119" t="str">
        <f>IMPRODUCT($L83,$Z83)</f>
        <v>-1.02589774801653-5.11906734603397j</v>
      </c>
      <c r="AF83" s="141">
        <f>IMABS($AE83)</f>
        <v>5.22085401851236</v>
      </c>
      <c r="AG83" s="111">
        <f t="shared" si="59"/>
        <v>4.22085401851236</v>
      </c>
      <c r="AH83" s="106">
        <f>IF(AND(IMREAL(AE83)&lt;0,IMAGINARY(AE83)&gt;0),180/PI()*IMARGUMENT($AE83)-360,180/PI()*IMARGUMENT($AE83))</f>
        <v>-101.33236200731703</v>
      </c>
      <c r="AI83" s="111" t="str">
        <f>IMDIV($Z83,IMSUM(1,IMPRODUCT($Z83,$L83)))</f>
        <v>353.826432371646-49980.0744998365j</v>
      </c>
      <c r="AJ83" s="141">
        <f>IMABS($AI83)</f>
        <v>49981.32691469337</v>
      </c>
      <c r="AK83" s="147">
        <f>180/PI()*IMARGUMENT($AI83)</f>
        <v>-89.59438990844217</v>
      </c>
      <c r="AL83" s="144">
        <f t="shared" si="49"/>
        <v>15.90955048153088</v>
      </c>
      <c r="AM83" s="146">
        <f t="shared" si="50"/>
        <v>99.96265382938674</v>
      </c>
      <c r="AN83" s="119" t="str">
        <f>IMPRODUCT($AI83,COMPLEX(0,$B83,"j"),$D$24)</f>
        <v>314034.069749114+2223.1570411693j</v>
      </c>
      <c r="AO83" s="142">
        <f>IMABS(AN83)</f>
        <v>314041.93890374113</v>
      </c>
      <c r="AP83" s="132">
        <f>180/PI()*IMARGUMENT($AN83)</f>
        <v>0.4056100915578344</v>
      </c>
      <c r="AQ83" s="133">
        <f t="shared" si="51"/>
        <v>986591848.1790872</v>
      </c>
      <c r="AR83" s="133">
        <f t="shared" si="53"/>
        <v>1.6126081927153225E-07</v>
      </c>
      <c r="AS83" s="779">
        <f t="shared" si="54"/>
        <v>1.860340294407519</v>
      </c>
      <c r="AT83" s="143">
        <f t="shared" si="55"/>
        <v>2500000</v>
      </c>
      <c r="AU83" s="120">
        <f t="shared" si="56"/>
        <v>500</v>
      </c>
      <c r="AV83" s="130">
        <f t="shared" si="57"/>
        <v>100.00000000000001</v>
      </c>
      <c r="AW83" s="582" t="str">
        <f>IF($D$10,IMDIV(COMPLEX(1,$B83/$D$49,"j"),COMPLEX(1,$B83/$D$50,"j")),COMPLEX(1,0,"j"))</f>
        <v>1</v>
      </c>
      <c r="AX83" s="149">
        <f>IMABS(AW83)</f>
        <v>1</v>
      </c>
      <c r="AY83" s="111"/>
    </row>
    <row r="84" spans="1:51" ht="15" customHeight="1" thickBot="1">
      <c r="A84" s="118">
        <v>600</v>
      </c>
      <c r="B84" s="130">
        <f t="shared" si="58"/>
        <v>3769.9111843077517</v>
      </c>
      <c r="C84" s="235"/>
      <c r="D84" s="355" t="str">
        <f>IF($D$89&gt;=$D$21,"Ri is OK","Ri is too High")</f>
        <v>Ri is OK</v>
      </c>
      <c r="E84" s="9"/>
      <c r="F84" s="9"/>
      <c r="G84" s="18"/>
      <c r="H84" s="139" t="str">
        <f>IMDIV(COMPLEX(0,$D$15*$D$23*$B84,"j"),COMPLEX(1,$B84*$D$16*$D$15*$D$23,"j"))</f>
        <v>1.7999838001458E-007+5.999946000486E-005j</v>
      </c>
      <c r="I84" s="145">
        <f t="shared" si="52"/>
        <v>1E-05</v>
      </c>
      <c r="J84" s="150" t="str">
        <f>IMDIV(IF($D$12,$D$52/$D$19,$D$53)/$D$21,COMPLEX(1,$B84*IF($D$12,$D$52,$D$53*$D$19)*$D$17,"j"))</f>
        <v>4.42097064144154E-017-1.66666666666667E-009j</v>
      </c>
      <c r="K84" s="140" t="str">
        <f>IMSUM(IF($D$9,$H84,0),IF($D$7,$I84,0),IF($D$8,$J84,0))</f>
        <v>1.01799983800588E-005+5.99977933381933E-005j</v>
      </c>
      <c r="L84" s="139" t="str">
        <f>IMPRODUCT($D$22,$K84)</f>
        <v>4.07199935202352E-006+2.39991173352773E-005j</v>
      </c>
      <c r="M84" s="377">
        <f>IMABS($L84)</f>
        <v>2.4342120112991132E-05</v>
      </c>
      <c r="N84" s="141">
        <f t="shared" si="38"/>
        <v>41081.056019697746</v>
      </c>
      <c r="O84" s="498">
        <f t="shared" si="39"/>
        <v>10.897088554949931</v>
      </c>
      <c r="P84" s="141">
        <f t="shared" si="40"/>
        <v>82.1621120393955</v>
      </c>
      <c r="Q84" s="141">
        <f t="shared" si="41"/>
        <v>309743.86510366364</v>
      </c>
      <c r="R84" s="141">
        <f t="shared" si="42"/>
        <v>1167706861.3250132</v>
      </c>
      <c r="S84" s="119" t="str">
        <f>IMDIV(1/$D$37,COMPLEX(1-$B84*$B84*$D$40*$D$40,$B84*2*$D$26*$D$40,"j"))</f>
        <v>-3.54268874983615E-005-5.94577132839634E-008j</v>
      </c>
      <c r="T84" s="111">
        <f>IMABS($S84)</f>
        <v>3.5426937392910936E-05</v>
      </c>
      <c r="U84" s="111">
        <f t="shared" si="43"/>
        <v>7.085387478582187E-08</v>
      </c>
      <c r="V84" s="143">
        <f t="shared" si="44"/>
        <v>1.0069915887653498</v>
      </c>
      <c r="W84" s="144">
        <f t="shared" si="45"/>
        <v>0.0002671128150066109</v>
      </c>
      <c r="X84" s="22" t="str">
        <f>IMPRODUCT(IMDIV($D$28,COMPLEX(1,$B84*$D$29,"j")),$AW84)</f>
        <v>5000000000</v>
      </c>
      <c r="Y84" s="124">
        <f>IMABS($X84)</f>
        <v>5000000000</v>
      </c>
      <c r="Z84" s="111" t="str">
        <f>IMPRODUCT($S84,$X84)</f>
        <v>-177134.437491808-297.288566419817j</v>
      </c>
      <c r="AA84" s="197">
        <f>IMABS($Z84)</f>
        <v>177134.68696455518</v>
      </c>
      <c r="AB84" s="111">
        <f t="shared" si="46"/>
        <v>354.2693739291104</v>
      </c>
      <c r="AC84" s="111">
        <f t="shared" si="47"/>
        <v>5034957943.826763</v>
      </c>
      <c r="AD84" s="145">
        <f t="shared" si="48"/>
        <v>1335564.0750330582</v>
      </c>
      <c r="AE84" s="119" t="str">
        <f>IMPRODUCT($L84,$Z84)</f>
        <v>-0.714156651499747-4.25228070833407j</v>
      </c>
      <c r="AF84" s="141">
        <f>IMABS($AE84)</f>
        <v>4.311833826268289</v>
      </c>
      <c r="AG84" s="111">
        <f t="shared" si="59"/>
        <v>3.3118338262682894</v>
      </c>
      <c r="AH84" s="106">
        <f>IF(AND(IMREAL(AE84)&lt;0,IMAGINARY(AE84)&gt;0),180/PI()*IMARGUMENT($AE84)-360,180/PI()*IMARGUMENT($AE84))</f>
        <v>-99.53366751625065</v>
      </c>
      <c r="AI84" s="111" t="str">
        <f>IMDIV($Z84,IMSUM(1,IMPRODUCT($Z84,$L84)))</f>
        <v>-2717.99382939752-41473.630066041j</v>
      </c>
      <c r="AJ84" s="141">
        <f>IMABS($AI84)</f>
        <v>41562.59714348302</v>
      </c>
      <c r="AK84" s="147">
        <f>180/PI()*IMARGUMENT($AI84)</f>
        <v>-93.74954399092778</v>
      </c>
      <c r="AL84" s="144">
        <f t="shared" si="49"/>
        <v>11.02482130520402</v>
      </c>
      <c r="AM84" s="146">
        <f t="shared" si="50"/>
        <v>83.12519428696605</v>
      </c>
      <c r="AN84" s="119" t="str">
        <f>IMPRODUCT($AI84,COMPLEX(0,$B84,"j"),$D$24)</f>
        <v>312703.80367962-20493.1906726503j</v>
      </c>
      <c r="AO84" s="142">
        <f>IMABS(AN84)</f>
        <v>313374.5996401877</v>
      </c>
      <c r="AP84" s="132">
        <f>180/PI()*IMARGUMENT($AN84)</f>
        <v>-3.7495439909277715</v>
      </c>
      <c r="AQ84" s="133">
        <f t="shared" si="51"/>
        <v>1181394408.0615094</v>
      </c>
      <c r="AR84" s="133">
        <f t="shared" si="53"/>
        <v>1.3074762941869705E-07</v>
      </c>
      <c r="AS84" s="779">
        <f t="shared" si="54"/>
        <v>2.2944966676168255</v>
      </c>
      <c r="AT84" s="143">
        <f t="shared" si="55"/>
        <v>3000000.0000000005</v>
      </c>
      <c r="AU84" s="120">
        <f t="shared" si="56"/>
        <v>500</v>
      </c>
      <c r="AV84" s="130">
        <f t="shared" si="57"/>
        <v>83.33333333333333</v>
      </c>
      <c r="AW84" s="582" t="str">
        <f>IF($D$10,IMDIV(COMPLEX(1,$B84/$D$49,"j"),COMPLEX(1,$B84/$D$50,"j")),COMPLEX(1,0,"j"))</f>
        <v>1</v>
      </c>
      <c r="AX84" s="149">
        <f>IMABS(AW84)</f>
        <v>1</v>
      </c>
      <c r="AY84" s="111"/>
    </row>
    <row r="85" spans="1:51" ht="12.75">
      <c r="A85" s="118">
        <v>700</v>
      </c>
      <c r="B85" s="144">
        <f t="shared" si="58"/>
        <v>4398.22971502571</v>
      </c>
      <c r="C85" s="185" t="s">
        <v>652</v>
      </c>
      <c r="D85" s="338">
        <v>0.00432</v>
      </c>
      <c r="E85" s="194"/>
      <c r="F85" s="538" t="s">
        <v>674</v>
      </c>
      <c r="G85" s="223"/>
      <c r="H85" s="139" t="str">
        <f>IMDIV(COMPLEX(0,$D$15*$D$23*$B85,"j"),COMPLEX(1,$B85*$D$16*$D$15*$D$23,"j"))</f>
        <v>2.44996998786765E-007+6.99991425105042E-005j</v>
      </c>
      <c r="I85" s="145">
        <f t="shared" si="52"/>
        <v>1E-05</v>
      </c>
      <c r="J85" s="150" t="str">
        <f>IMDIV(IF($D$12,$D$52/$D$19,$D$53)/$D$21,COMPLEX(1,$B85*IF($D$12,$D$52,$D$53*$D$19)*$D$17,"j"))</f>
        <v>3.2480600630999E-017-1.42857142857143E-009j</v>
      </c>
      <c r="K85" s="140" t="str">
        <f>IMSUM(IF($D$9,$H85,0),IF($D$7,$I85,0),IF($D$8,$J85,0))</f>
        <v>1.02449969988192E-005+6.99977139390756E-005j</v>
      </c>
      <c r="L85" s="139" t="str">
        <f>IMPRODUCT($D$22,$K85)</f>
        <v>4.09799879952768E-006+2.79990855756302E-005j</v>
      </c>
      <c r="M85" s="377">
        <f>IMABS($L85)</f>
        <v>2.8297391880390558E-05</v>
      </c>
      <c r="N85" s="141">
        <f t="shared" si="38"/>
        <v>35338.945872710516</v>
      </c>
      <c r="O85" s="498">
        <f t="shared" si="39"/>
        <v>8.034811313284017</v>
      </c>
      <c r="P85" s="141">
        <f t="shared" si="40"/>
        <v>70.67789174542104</v>
      </c>
      <c r="Q85" s="141">
        <f t="shared" si="41"/>
        <v>310857.6036700811</v>
      </c>
      <c r="R85" s="141">
        <f t="shared" si="42"/>
        <v>1367223149.603436</v>
      </c>
      <c r="S85" s="119" t="str">
        <f>IMDIV(1/$D$37,COMPLEX(1-$B85*$B85*$D$40*$D$40,$B85*2*$D$26*$D$40,"j"))</f>
        <v>-2.5979737112463E-005-3.7304237905075E-008j</v>
      </c>
      <c r="T85" s="111">
        <f>IMABS($S85)</f>
        <v>2.5979763894978973E-05</v>
      </c>
      <c r="U85" s="111">
        <f t="shared" si="43"/>
        <v>5.195952778995795E-08</v>
      </c>
      <c r="V85" s="143">
        <f t="shared" si="44"/>
        <v>1.0051271689424155</v>
      </c>
      <c r="W85" s="144">
        <f t="shared" si="45"/>
        <v>0.0002285299391044972</v>
      </c>
      <c r="X85" s="22" t="str">
        <f>IMPRODUCT(IMDIV($D$28,COMPLEX(1,$B85*$D$29,"j")),$AW85)</f>
        <v>5000000000</v>
      </c>
      <c r="Y85" s="124">
        <f>IMABS($X85)</f>
        <v>5000000000</v>
      </c>
      <c r="Z85" s="111" t="str">
        <f>IMPRODUCT($S85,$X85)</f>
        <v>-129898.685562315-186.521189525375j</v>
      </c>
      <c r="AA85" s="197">
        <f>IMABS($Z85)</f>
        <v>129898.81947489487</v>
      </c>
      <c r="AB85" s="111">
        <f t="shared" si="46"/>
        <v>259.79763894978976</v>
      </c>
      <c r="AC85" s="111">
        <f t="shared" si="47"/>
        <v>5025635844.712078</v>
      </c>
      <c r="AD85" s="145">
        <f t="shared" si="48"/>
        <v>1142649.695522486</v>
      </c>
      <c r="AE85" s="119" t="str">
        <f>IMPRODUCT($L85,$Z85)</f>
        <v>-0.527102234747401-3.6378087768319j</v>
      </c>
      <c r="AF85" s="141">
        <f>IMABS($AE85)</f>
        <v>3.6757977994812108</v>
      </c>
      <c r="AG85" s="111">
        <f t="shared" si="59"/>
        <v>2.6757977994812108</v>
      </c>
      <c r="AH85" s="106">
        <f>IF(AND(IMREAL(AE85)&lt;0,IMAGINARY(AE85)&gt;0),180/PI()*IMARGUMENT($AE85)-360,180/PI()*IMARGUMENT($AE85))</f>
        <v>-98.24452477105056</v>
      </c>
      <c r="AI85" s="111" t="str">
        <f>IMDIV($Z85,IMSUM(1,IMPRODUCT($Z85,$L85)))</f>
        <v>-4514.30357030808-35121.109802674j</v>
      </c>
      <c r="AJ85" s="141">
        <f>IMABS($AI85)</f>
        <v>35410.045050753324</v>
      </c>
      <c r="AK85" s="147">
        <f>180/PI()*IMARGUMENT($AI85)</f>
        <v>-97.32437220090242</v>
      </c>
      <c r="AL85" s="144">
        <f t="shared" si="49"/>
        <v>8.050976721334424</v>
      </c>
      <c r="AM85" s="146">
        <f t="shared" si="50"/>
        <v>70.82009010150665</v>
      </c>
      <c r="AN85" s="119" t="str">
        <f>IMPRODUCT($AI85,COMPLEX(0,$B85,"j"),$D$24)</f>
        <v>308941.417517603-39709.8882111513j</v>
      </c>
      <c r="AO85" s="142">
        <f>IMABS(AN85)</f>
        <v>311483.02470524464</v>
      </c>
      <c r="AP85" s="132">
        <f>180/PI()*IMARGUMENT($AN85)</f>
        <v>-7.324372200902418</v>
      </c>
      <c r="AQ85" s="133">
        <f t="shared" si="51"/>
        <v>1369973894.9846945</v>
      </c>
      <c r="AR85" s="133">
        <f t="shared" si="53"/>
        <v>1.089241479718555E-07</v>
      </c>
      <c r="AS85" s="779">
        <f t="shared" si="54"/>
        <v>2.7542102057802267</v>
      </c>
      <c r="AT85" s="143">
        <f t="shared" si="55"/>
        <v>3500000</v>
      </c>
      <c r="AU85" s="120">
        <f t="shared" si="56"/>
        <v>500</v>
      </c>
      <c r="AV85" s="130">
        <f t="shared" si="57"/>
        <v>71.42857142857143</v>
      </c>
      <c r="AW85" s="582" t="str">
        <f>IF($D$10,IMDIV(COMPLEX(1,$B85/$D$49,"j"),COMPLEX(1,$B85/$D$50,"j")),COMPLEX(1,0,"j"))</f>
        <v>1</v>
      </c>
      <c r="AX85" s="149">
        <f>IMABS(AW85)</f>
        <v>1</v>
      </c>
      <c r="AY85" s="111"/>
    </row>
    <row r="86" spans="1:51" ht="15" customHeight="1" thickBot="1">
      <c r="A86" s="118">
        <v>800</v>
      </c>
      <c r="B86" s="130">
        <f t="shared" si="58"/>
        <v>5026.548245743669</v>
      </c>
      <c r="C86" s="199" t="s">
        <v>537</v>
      </c>
      <c r="D86" s="339">
        <v>7</v>
      </c>
      <c r="E86" s="194" t="s">
        <v>233</v>
      </c>
      <c r="F86" s="182" t="s">
        <v>356</v>
      </c>
      <c r="G86" s="223"/>
      <c r="H86" s="139" t="str">
        <f>IMDIV(COMPLEX(0,$D$15*$D$23*$B86,"j"),COMPLEX(1,$B86*$D$16*$D$15*$D$23,"j"))</f>
        <v>3.19994880081919E-007+7.99987200204797E-005j</v>
      </c>
      <c r="I86" s="145">
        <f t="shared" si="52"/>
        <v>1E-05</v>
      </c>
      <c r="J86" s="150" t="str">
        <f>IMDIV(IF($D$12,$D$52/$D$19,$D$53)/$D$21,COMPLEX(1,$B86*IF($D$12,$D$52,$D$53*$D$19)*$D$17,"j"))</f>
        <v>2.48679598581086E-017-1.25E-009j</v>
      </c>
      <c r="K86" s="140" t="str">
        <f>IMSUM(IF($D$9,$H86,0),IF($D$7,$I86,0),IF($D$8,$J86,0))</f>
        <v>1.03199948801068E-005+7.99974700204797E-005j</v>
      </c>
      <c r="L86" s="139" t="str">
        <f>IMPRODUCT($D$22,$K86)</f>
        <v>4.12799795204272E-006+3.19989880081919E-005j</v>
      </c>
      <c r="M86" s="377">
        <f>IMABS($L86)</f>
        <v>3.226415349331946E-05</v>
      </c>
      <c r="N86" s="141">
        <f t="shared" si="38"/>
        <v>30994.149597232037</v>
      </c>
      <c r="O86" s="498">
        <f t="shared" si="39"/>
        <v>6.166090144161444</v>
      </c>
      <c r="P86" s="141">
        <f t="shared" si="40"/>
        <v>61.988299194464076</v>
      </c>
      <c r="Q86" s="141">
        <f t="shared" si="41"/>
        <v>311587.1765725671</v>
      </c>
      <c r="R86" s="141">
        <f t="shared" si="42"/>
        <v>1566207975.79706</v>
      </c>
      <c r="S86" s="119" t="str">
        <f>IMDIV(1/$D$37,COMPLEX(1-$B86*$B86*$D$40*$D$40,$B86*2*$D$26*$D$40,"j"))</f>
        <v>-1.98668674674752E-005-2.49309709395768E-008j</v>
      </c>
      <c r="T86" s="111">
        <f>IMABS($S86)</f>
        <v>1.98668831104312E-05</v>
      </c>
      <c r="U86" s="111">
        <f t="shared" si="43"/>
        <v>3.97337662208624E-08</v>
      </c>
      <c r="V86" s="143">
        <f t="shared" si="44"/>
        <v>1.0039207781511148</v>
      </c>
      <c r="W86" s="144">
        <f t="shared" si="45"/>
        <v>0.00019972369289426495</v>
      </c>
      <c r="X86" s="22" t="str">
        <f>IMPRODUCT(IMDIV($D$28,COMPLEX(1,$B86*$D$29,"j")),$AW86)</f>
        <v>5000000000</v>
      </c>
      <c r="Y86" s="124">
        <f>IMABS($X86)</f>
        <v>5000000000</v>
      </c>
      <c r="Z86" s="111" t="str">
        <f>IMPRODUCT($S86,$X86)</f>
        <v>-99334.337337376-124.654854697884j</v>
      </c>
      <c r="AA86" s="197">
        <f>IMABS($Z86)</f>
        <v>99334.415552156</v>
      </c>
      <c r="AB86" s="111">
        <f t="shared" si="46"/>
        <v>198.668831104312</v>
      </c>
      <c r="AC86" s="111">
        <f t="shared" si="47"/>
        <v>5019603890.755574</v>
      </c>
      <c r="AD86" s="145">
        <f t="shared" si="48"/>
        <v>998618.4644713248</v>
      </c>
      <c r="AE86" s="119" t="str">
        <f>IMPRODUCT($L86,$Z86)</f>
        <v>-0.406063111895568-3.17911284424529j</v>
      </c>
      <c r="AF86" s="141">
        <f>IMABS($AE86)</f>
        <v>3.2049408305439413</v>
      </c>
      <c r="AG86" s="111">
        <f t="shared" si="59"/>
        <v>2.2049408305439413</v>
      </c>
      <c r="AH86" s="106">
        <f>IF(AND(IMREAL(AE86)&lt;0,IMAGINARY(AE86)&gt;0),180/PI()*IMARGUMENT($AE86)-360,180/PI()*IMARGUMENT($AE86))</f>
        <v>-97.27888713892568</v>
      </c>
      <c r="AI86" s="111" t="str">
        <f>IMDIV($Z86,IMSUM(1,IMPRODUCT($Z86,$L86)))</f>
        <v>-5602.7464101787-30199.1984158297j</v>
      </c>
      <c r="AJ86" s="141">
        <f>IMABS($AI86)</f>
        <v>30714.52998656208</v>
      </c>
      <c r="AK86" s="147">
        <f>180/PI()*IMARGUMENT($AI86)</f>
        <v>-100.51037385841558</v>
      </c>
      <c r="AL86" s="144">
        <f t="shared" si="49"/>
        <v>6.110461590132001</v>
      </c>
      <c r="AM86" s="146">
        <f t="shared" si="50"/>
        <v>61.42905997312416</v>
      </c>
      <c r="AN86" s="119" t="str">
        <f>IMPRODUCT($AI86,COMPLEX(0,$B86,"j"),$D$24)</f>
        <v>303595.455639908-56324.9502788608j</v>
      </c>
      <c r="AO86" s="142">
        <f>IMABS(AN86)</f>
        <v>308776.13364559034</v>
      </c>
      <c r="AP86" s="132">
        <f>180/PI()*IMARGUMENT($AN86)</f>
        <v>-10.510373858415576</v>
      </c>
      <c r="AQ86" s="133">
        <f t="shared" si="51"/>
        <v>1552078132.9037528</v>
      </c>
      <c r="AR86" s="133">
        <f t="shared" si="53"/>
        <v>9.262208249587004E-08</v>
      </c>
      <c r="AS86" s="779">
        <f t="shared" si="54"/>
        <v>3.2389684178540987</v>
      </c>
      <c r="AT86" s="143">
        <f t="shared" si="55"/>
        <v>4000000.000000001</v>
      </c>
      <c r="AU86" s="120">
        <f t="shared" si="56"/>
        <v>500</v>
      </c>
      <c r="AV86" s="130">
        <f t="shared" si="57"/>
        <v>62.50000000000001</v>
      </c>
      <c r="AW86" s="582" t="str">
        <f>IF($D$10,IMDIV(COMPLEX(1,$B86/$D$49,"j"),COMPLEX(1,$B86/$D$50,"j")),COMPLEX(1,0,"j"))</f>
        <v>1</v>
      </c>
      <c r="AX86" s="149">
        <f>IMABS(AW86)</f>
        <v>1</v>
      </c>
      <c r="AY86" s="111"/>
    </row>
    <row r="87" spans="1:51" ht="15" customHeight="1">
      <c r="A87" s="118">
        <v>900</v>
      </c>
      <c r="B87" s="130">
        <f t="shared" si="58"/>
        <v>5654.8667764616275</v>
      </c>
      <c r="C87" s="198" t="s">
        <v>653</v>
      </c>
      <c r="D87" s="337">
        <f>$D$24*9.81*D$85</f>
        <v>8.47584E-05</v>
      </c>
      <c r="E87" s="122" t="s">
        <v>328</v>
      </c>
      <c r="F87" s="120" t="s">
        <v>659</v>
      </c>
      <c r="G87" s="106"/>
      <c r="H87" s="139" t="str">
        <f>IMDIV(COMPLEX(0,$D$15*$D$23*$B87,"j"),COMPLEX(1,$B87*$D$16*$D$15*$D$23,"j"))</f>
        <v>4.04991798916072E-007+8.99981775369049E-005j</v>
      </c>
      <c r="I87" s="145">
        <f t="shared" si="52"/>
        <v>1E-05</v>
      </c>
      <c r="J87" s="150" t="str">
        <f>IMDIV(IF($D$12,$D$52/$D$19,$D$53)/$D$21,COMPLEX(1,$B87*IF($D$12,$D$52,$D$53*$D$19)*$D$17,"j"))</f>
        <v>1.96487584064068E-017-1.11111111111111E-009j</v>
      </c>
      <c r="K87" s="140" t="str">
        <f>IMSUM(IF($D$9,$H87,0),IF($D$7,$I87,0),IF($D$8,$J87,0))</f>
        <v>1.04049917989357E-005+8.99970664257938E-005j</v>
      </c>
      <c r="L87" s="139" t="str">
        <f>IMPRODUCT($D$22,$K87)</f>
        <v>4.16199671957428E-006+3.59988265703175E-005j</v>
      </c>
      <c r="M87" s="377">
        <f>IMABS($L87)</f>
        <v>3.6238622092093185E-05</v>
      </c>
      <c r="N87" s="141">
        <f t="shared" si="38"/>
        <v>27594.86818948857</v>
      </c>
      <c r="O87" s="498">
        <f t="shared" si="39"/>
        <v>4.879844084807118</v>
      </c>
      <c r="P87" s="141">
        <f t="shared" si="40"/>
        <v>55.189736378977145</v>
      </c>
      <c r="Q87" s="141">
        <f t="shared" si="41"/>
        <v>312090.6066511535</v>
      </c>
      <c r="R87" s="141">
        <f t="shared" si="42"/>
        <v>1764830802.797362</v>
      </c>
      <c r="S87" s="119" t="str">
        <f>IMDIV(1/$D$37,COMPLEX(1-$B87*$B87*$D$40*$D$40,$B87*2*$D$26*$D$40,"j"))</f>
        <v>-1.56843742691759E-005-1.7481036337162E-008j</v>
      </c>
      <c r="T87" s="111">
        <f>IMABS($S87)</f>
        <v>1.5684384010926872E-05</v>
      </c>
      <c r="U87" s="111">
        <f t="shared" si="43"/>
        <v>3.136876802185375E-08</v>
      </c>
      <c r="V87" s="143">
        <f t="shared" si="44"/>
        <v>1.003095352197774</v>
      </c>
      <c r="W87" s="144">
        <f t="shared" si="45"/>
        <v>0.00017738620410531267</v>
      </c>
      <c r="X87" s="22" t="str">
        <f>IMPRODUCT(IMDIV($D$28,COMPLEX(1,$B87*$D$29,"j")),$AW87)</f>
        <v>5000000000</v>
      </c>
      <c r="Y87" s="124">
        <f>IMABS($X87)</f>
        <v>5000000000</v>
      </c>
      <c r="Z87" s="111" t="str">
        <f>IMPRODUCT($S87,$X87)</f>
        <v>-78421.8713458795-87.40518168581j</v>
      </c>
      <c r="AA87" s="197">
        <f>IMABS($Z87)</f>
        <v>78421.92005463435</v>
      </c>
      <c r="AB87" s="111">
        <f t="shared" si="46"/>
        <v>156.8438401092687</v>
      </c>
      <c r="AC87" s="111">
        <f t="shared" si="47"/>
        <v>5015476760.988869</v>
      </c>
      <c r="AD87" s="145">
        <f t="shared" si="48"/>
        <v>886931.0205265633</v>
      </c>
      <c r="AE87" s="119" t="str">
        <f>IMPRODUCT($L87,$Z87)</f>
        <v>-0.323245087307572-2.82345912597952j</v>
      </c>
      <c r="AF87" s="141">
        <f>IMABS($AE87)</f>
        <v>2.8419023245962403</v>
      </c>
      <c r="AG87" s="111">
        <f t="shared" si="59"/>
        <v>1.8419023245962403</v>
      </c>
      <c r="AH87" s="106">
        <f>IF(AND(IMREAL(AE87)&lt;0,IMAGINARY(AE87)&gt;0),180/PI()*IMARGUMENT($AE87)-360,180/PI()*IMARGUMENT($AE87))</f>
        <v>-96.5310999419703</v>
      </c>
      <c r="AI87" s="111" t="str">
        <f>IMDIV($Z87,IMSUM(1,IMPRODUCT($Z87,$L87)))</f>
        <v>-6266.44264840421-26273.1005439052j</v>
      </c>
      <c r="AJ87" s="141">
        <f>IMABS($AI87)</f>
        <v>27010.07433636366</v>
      </c>
      <c r="AK87" s="147">
        <f>180/PI()*IMARGUMENT($AI87)</f>
        <v>-103.4150786152047</v>
      </c>
      <c r="AL87" s="144">
        <f t="shared" si="49"/>
        <v>4.77642982656869</v>
      </c>
      <c r="AM87" s="146">
        <f t="shared" si="50"/>
        <v>54.02014867272732</v>
      </c>
      <c r="AN87" s="119" t="str">
        <f>IMPRODUCT($AI87,COMPLEX(0,$B87,"j"),$D$24)</f>
        <v>297141.766760731-70871.7966781264j</v>
      </c>
      <c r="AO87" s="142">
        <f>IMABS(AN87)</f>
        <v>305476.74398892355</v>
      </c>
      <c r="AP87" s="132">
        <f>180/PI()*IMARGUMENT($AN87)</f>
        <v>-13.415078615204703</v>
      </c>
      <c r="AQ87" s="133">
        <f t="shared" si="51"/>
        <v>1727430290.5646374</v>
      </c>
      <c r="AR87" s="133">
        <f t="shared" si="53"/>
        <v>8.003240014242795E-08</v>
      </c>
      <c r="AS87" s="779">
        <f t="shared" si="54"/>
        <v>3.7484818581738324</v>
      </c>
      <c r="AT87" s="143">
        <f t="shared" si="55"/>
        <v>4500000</v>
      </c>
      <c r="AU87" s="120">
        <f t="shared" si="56"/>
        <v>500</v>
      </c>
      <c r="AV87" s="130">
        <f t="shared" si="57"/>
        <v>55.555555555555564</v>
      </c>
      <c r="AW87" s="582" t="str">
        <f>IF($D$10,IMDIV(COMPLEX(1,$B87/$D$49,"j"),COMPLEX(1,$B87/$D$50,"j")),COMPLEX(1,0,"j"))</f>
        <v>1</v>
      </c>
      <c r="AX87" s="149">
        <f>IMABS(AW87)</f>
        <v>1</v>
      </c>
      <c r="AY87" s="111"/>
    </row>
    <row r="88" spans="1:51" ht="15" customHeight="1">
      <c r="A88" s="118">
        <v>1000</v>
      </c>
      <c r="B88" s="130">
        <f t="shared" si="58"/>
        <v>6283.185307179586</v>
      </c>
      <c r="C88" s="198" t="s">
        <v>654</v>
      </c>
      <c r="D88" s="228">
        <f>$D$87/$D$22*1000</f>
        <v>0.211896</v>
      </c>
      <c r="E88" s="122" t="s">
        <v>329</v>
      </c>
      <c r="F88" s="122" t="s">
        <v>660</v>
      </c>
      <c r="G88" s="106"/>
      <c r="H88" s="139" t="str">
        <f>IMDIV(COMPLEX(0,$D$15*$D$23*$B88,"j"),COMPLEX(1,$B88*$D$16*$D$15*$D$23,"j"))</f>
        <v>4.99987500312492E-007+9.99975000624984E-005j</v>
      </c>
      <c r="I88" s="145">
        <f t="shared" si="52"/>
        <v>1E-05</v>
      </c>
      <c r="J88" s="150" t="str">
        <f>IMDIV(IF($D$12,$D$52/$D$19,$D$53)/$D$21,COMPLEX(1,$B88*IF($D$12,$D$52,$D$53*$D$19)*$D$17,"j"))</f>
        <v>1.59154943091895E-017-9.99999999999999E-010j</v>
      </c>
      <c r="K88" s="140" t="str">
        <f>IMSUM(IF($D$9,$H88,0),IF($D$7,$I88,0),IF($D$8,$J88,0))</f>
        <v>1.04999875003284E-005+9.99965000624984E-005j</v>
      </c>
      <c r="L88" s="139" t="str">
        <f>IMPRODUCT($D$22,$K88)</f>
        <v>4.19999500013136E-006+3.99986000249994E-005j</v>
      </c>
      <c r="M88" s="377">
        <f>IMABS($L88)</f>
        <v>4.0218502731466896E-05</v>
      </c>
      <c r="N88" s="141">
        <f t="shared" si="38"/>
        <v>24864.177731251082</v>
      </c>
      <c r="O88" s="498">
        <f t="shared" si="39"/>
        <v>3.9572567918440376</v>
      </c>
      <c r="P88" s="141">
        <f t="shared" si="40"/>
        <v>49.728355462502165</v>
      </c>
      <c r="Q88" s="141">
        <f t="shared" si="41"/>
        <v>312452.4723921973</v>
      </c>
      <c r="R88" s="141">
        <f t="shared" si="42"/>
        <v>1963196783.7265892</v>
      </c>
      <c r="S88" s="119" t="str">
        <f>IMDIV(1/$D$37,COMPLEX(1-$B88*$B88*$D$40*$D$40,$B88*2*$D$26*$D$40,"j"))</f>
        <v>-1.26968774201434E-005-1.27286991680636E-008j</v>
      </c>
      <c r="T88" s="111">
        <f>IMABS($S88)</f>
        <v>1.269688380044213E-05</v>
      </c>
      <c r="U88" s="111">
        <f t="shared" si="43"/>
        <v>2.539376760088426E-08</v>
      </c>
      <c r="V88" s="143">
        <f t="shared" si="44"/>
        <v>1.0025057618957103</v>
      </c>
      <c r="W88" s="144">
        <f t="shared" si="45"/>
        <v>0.00015955374748380898</v>
      </c>
      <c r="X88" s="22" t="str">
        <f>IMPRODUCT(IMDIV($D$28,COMPLEX(1,$B88*$D$29,"j")),$AW88)</f>
        <v>5000000000</v>
      </c>
      <c r="Y88" s="124">
        <f>IMABS($X88)</f>
        <v>5000000000</v>
      </c>
      <c r="Z88" s="111" t="str">
        <f>IMPRODUCT($S88,$X88)</f>
        <v>-63484.387100717-63.643495840318j</v>
      </c>
      <c r="AA88" s="197">
        <f>IMABS($Z88)</f>
        <v>63484.419002210656</v>
      </c>
      <c r="AB88" s="111">
        <f t="shared" si="46"/>
        <v>126.96883800442131</v>
      </c>
      <c r="AC88" s="111">
        <f t="shared" si="47"/>
        <v>5012528809.478553</v>
      </c>
      <c r="AD88" s="145">
        <f t="shared" si="48"/>
        <v>797768.7374190451</v>
      </c>
      <c r="AE88" s="119" t="str">
        <f>IMPRODUCT($L88,$Z88)</f>
        <v>-0.264088457675106-2.53955390983813j</v>
      </c>
      <c r="AF88" s="141">
        <f>IMABS($AE88)</f>
        <v>2.553248279045998</v>
      </c>
      <c r="AG88" s="111">
        <f t="shared" si="59"/>
        <v>1.5532482790459978</v>
      </c>
      <c r="AH88" s="106">
        <f>IF(AND(IMREAL(AE88)&lt;0,IMAGINARY(AE88)&gt;0),180/PI()*IMARGUMENT($AE88)-360,180/PI()*IMARGUMENT($AE88))</f>
        <v>-95.93685477581327</v>
      </c>
      <c r="AI88" s="111" t="str">
        <f>IMDIV($Z88,IMSUM(1,IMPRODUCT($Z88,$L88)))</f>
        <v>-6659.69590102645-23068.3978756379j</v>
      </c>
      <c r="AJ88" s="141">
        <f>IMABS($AI88)</f>
        <v>24010.46709339249</v>
      </c>
      <c r="AK88" s="147">
        <f>180/PI()*IMARGUMENT($AI88)</f>
        <v>-106.10308364041414</v>
      </c>
      <c r="AL88" s="144">
        <f t="shared" si="49"/>
        <v>3.8213845238587076</v>
      </c>
      <c r="AM88" s="146">
        <f t="shared" si="50"/>
        <v>48.020934186784984</v>
      </c>
      <c r="AN88" s="119" t="str">
        <f>IMPRODUCT($AI88,COMPLEX(0,$B88,"j"),$D$24)</f>
        <v>289886.037184762-83688.2068712271j</v>
      </c>
      <c r="AO88" s="142">
        <f>IMABS(AN88)</f>
        <v>301724.4281194456</v>
      </c>
      <c r="AP88" s="132">
        <f>180/PI()*IMARGUMENT($AN88)</f>
        <v>-16.103083640414138</v>
      </c>
      <c r="AQ88" s="133">
        <f t="shared" si="51"/>
        <v>1895790493.5772617</v>
      </c>
      <c r="AR88" s="133">
        <f t="shared" si="53"/>
        <v>7.005131374909063E-08</v>
      </c>
      <c r="AS88" s="779">
        <f t="shared" si="54"/>
        <v>4.282574928923363</v>
      </c>
      <c r="AT88" s="143">
        <f t="shared" si="55"/>
        <v>5000000</v>
      </c>
      <c r="AU88" s="120">
        <f t="shared" si="56"/>
        <v>500</v>
      </c>
      <c r="AV88" s="130">
        <f t="shared" si="57"/>
        <v>50.00000000000001</v>
      </c>
      <c r="AW88" s="582" t="str">
        <f>IF($D$10,IMDIV(COMPLEX(1,$B88/$D$49,"j"),COMPLEX(1,$B88/$D$50,"j")),COMPLEX(1,0,"j"))</f>
        <v>1</v>
      </c>
      <c r="AX88" s="149">
        <f>IMABS(AW88)</f>
        <v>1</v>
      </c>
      <c r="AY88" s="111"/>
    </row>
    <row r="89" spans="1:51" ht="15" customHeight="1" thickBot="1">
      <c r="A89" s="118">
        <v>1500</v>
      </c>
      <c r="B89" s="130">
        <f t="shared" si="58"/>
        <v>9424.77796076938</v>
      </c>
      <c r="C89" s="205" t="s">
        <v>428</v>
      </c>
      <c r="D89" s="396">
        <f>$D$86*1000/$D$88</f>
        <v>33035.07380979348</v>
      </c>
      <c r="E89" s="397" t="s">
        <v>57</v>
      </c>
      <c r="F89" s="113" t="s">
        <v>412</v>
      </c>
      <c r="G89" s="114"/>
      <c r="H89" s="139" t="str">
        <f>IMDIV(COMPLEX(0,$D$15*$D$23*$B89,"j"),COMPLEX(1,$B89*$D$16*$D$15*$D$23,"j"))</f>
        <v>1.12493672230937E-006+1.49991562974583E-004j</v>
      </c>
      <c r="I89" s="145">
        <f t="shared" si="52"/>
        <v>1E-05</v>
      </c>
      <c r="J89" s="150" t="str">
        <f>IMDIV(IF($D$12,$D$52/$D$19,$D$53)/$D$21,COMPLEX(1,$B89*IF($D$12,$D$52,$D$53*$D$19)*$D$17,"j"))</f>
        <v>7.07355302630645E-018-6.66666666666666E-010j</v>
      </c>
      <c r="K89" s="140" t="str">
        <f>IMSUM(IF($D$9,$H89,0),IF($D$7,$I89,0),IF($D$8,$J89,0))</f>
        <v>1.11249367223164E-005+1.49990896307916E-004j</v>
      </c>
      <c r="L89" s="139" t="str">
        <f>IMPRODUCT($D$22,$K89)</f>
        <v>4.44997468892656E-006+5.99963585231664E-005j</v>
      </c>
      <c r="M89" s="377">
        <f>IMABS($L89)</f>
        <v>6.016116114880437E-05</v>
      </c>
      <c r="N89" s="141">
        <f t="shared" si="38"/>
        <v>16622.019603753506</v>
      </c>
      <c r="O89" s="498">
        <f t="shared" si="39"/>
        <v>1.7636510560718388</v>
      </c>
      <c r="P89" s="141">
        <f t="shared" si="40"/>
        <v>33.244039207507015</v>
      </c>
      <c r="Q89" s="141">
        <f t="shared" si="41"/>
        <v>313317.68804986525</v>
      </c>
      <c r="R89" s="141">
        <f t="shared" si="42"/>
        <v>2952949641.0515857</v>
      </c>
      <c r="S89" s="119" t="str">
        <f>IMDIV(1/$D$37,COMPLEX(1-$B89*$B89*$D$40*$D$40,$B89*2*$D$26*$D$40,"j"))</f>
        <v>-5.63521348779107E-006-3.76098786726879E-009j</v>
      </c>
      <c r="T89" s="111">
        <f>IMABS($S89)</f>
        <v>5.63521474284806E-06</v>
      </c>
      <c r="U89" s="111">
        <f t="shared" si="43"/>
        <v>1.127042948569612E-08</v>
      </c>
      <c r="V89" s="143">
        <f t="shared" si="44"/>
        <v>1.0011121240877432</v>
      </c>
      <c r="W89" s="144">
        <f t="shared" si="45"/>
        <v>0.00010622129542519417</v>
      </c>
      <c r="X89" s="22" t="str">
        <f>IMPRODUCT(IMDIV($D$28,COMPLEX(1,$B89*$D$29,"j")),$AW89)</f>
        <v>5000000000</v>
      </c>
      <c r="Y89" s="124">
        <f>IMABS($X89)</f>
        <v>5000000000</v>
      </c>
      <c r="Z89" s="111" t="str">
        <f>IMPRODUCT($S89,$X89)</f>
        <v>-28176.0674389554-18.8049393363439j</v>
      </c>
      <c r="AA89" s="197">
        <f>IMABS($Z89)</f>
        <v>28176.073714240352</v>
      </c>
      <c r="AB89" s="111">
        <f t="shared" si="46"/>
        <v>56.352147428480706</v>
      </c>
      <c r="AC89" s="111">
        <f t="shared" si="47"/>
        <v>5005560620.438725</v>
      </c>
      <c r="AD89" s="145">
        <f t="shared" si="48"/>
        <v>531106.4771259718</v>
      </c>
      <c r="AE89" s="119" t="str">
        <f>IMPRODUCT($L89,$Z89)</f>
        <v>-0.12425455905441-1.69054512534456j</v>
      </c>
      <c r="AF89" s="141">
        <f>IMABS($AE89)</f>
        <v>1.6951053112630083</v>
      </c>
      <c r="AG89" s="111">
        <f t="shared" si="59"/>
        <v>0.6951053112630083</v>
      </c>
      <c r="AH89" s="106">
        <f>IF(AND(IMREAL(AE89)&lt;0,IMAGINARY(AE89)&gt;0),180/PI()*IMARGUMENT($AE89)-360,180/PI()*IMARGUMENT($AE89))</f>
        <v>-94.20366377706301</v>
      </c>
      <c r="AI89" s="111" t="str">
        <f>IMDIV($Z89,IMSUM(1,IMPRODUCT($Z89,$L89)))</f>
        <v>-6798.38237015158-13145.1179500228j</v>
      </c>
      <c r="AJ89" s="141">
        <f>IMABS($AI89)</f>
        <v>14799.058374464215</v>
      </c>
      <c r="AK89" s="147">
        <f>180/PI()*IMARGUMENT($AI89)</f>
        <v>-117.34706775418123</v>
      </c>
      <c r="AL89" s="144">
        <f t="shared" si="49"/>
        <v>1.5702288622676597</v>
      </c>
      <c r="AM89" s="146">
        <f t="shared" si="50"/>
        <v>29.598116748928433</v>
      </c>
      <c r="AN89" s="119" t="str">
        <f>IMPRODUCT($AI89,COMPLEX(0,$B89,"j"),$D$24)</f>
        <v>247779.635894178-128146.488662175j</v>
      </c>
      <c r="AO89" s="142">
        <f>IMABS(AN89)</f>
        <v>278955.6784155798</v>
      </c>
      <c r="AP89" s="132">
        <f>180/PI()*IMARGUMENT($AN89)</f>
        <v>-27.347067754181126</v>
      </c>
      <c r="AQ89" s="133">
        <f t="shared" si="51"/>
        <v>2629095329.962626</v>
      </c>
      <c r="AR89" s="133">
        <f t="shared" si="53"/>
        <v>4.0990142150334925E-08</v>
      </c>
      <c r="AS89" s="779">
        <f t="shared" si="54"/>
        <v>7.318832876932307</v>
      </c>
      <c r="AT89" s="143">
        <f t="shared" si="55"/>
        <v>7500000.000000001</v>
      </c>
      <c r="AU89" s="120">
        <f t="shared" si="56"/>
        <v>500</v>
      </c>
      <c r="AV89" s="130">
        <f t="shared" si="57"/>
        <v>33.333333333333336</v>
      </c>
      <c r="AW89" s="582" t="str">
        <f>IF($D$10,IMDIV(COMPLEX(1,$B89/$D$49,"j"),COMPLEX(1,$B89/$D$50,"j")),COMPLEX(1,0,"j"))</f>
        <v>1</v>
      </c>
      <c r="AX89" s="149">
        <f>IMABS(AW89)</f>
        <v>1</v>
      </c>
      <c r="AY89" s="111"/>
    </row>
    <row r="90" spans="1:51" ht="15" customHeight="1">
      <c r="A90" s="118">
        <v>2000</v>
      </c>
      <c r="B90" s="130">
        <f t="shared" si="58"/>
        <v>12566.370614359172</v>
      </c>
      <c r="C90" s="125"/>
      <c r="D90" s="126"/>
      <c r="E90" s="126"/>
      <c r="F90" s="126"/>
      <c r="G90" s="127"/>
      <c r="H90" s="139" t="str">
        <f>IMDIV(COMPLEX(0,$D$15*$D$23*$B90,"j"),COMPLEX(1,$B90*$D$16*$D$15*$D$23,"j"))</f>
        <v>1.999800019998E-006+1.999800019998E-004j</v>
      </c>
      <c r="I90" s="145">
        <f t="shared" si="52"/>
        <v>1E-05</v>
      </c>
      <c r="J90" s="150" t="str">
        <f>IMDIV(IF($D$12,$D$52/$D$19,$D$53)/$D$21,COMPLEX(1,$B90*IF($D$12,$D$52,$D$53*$D$19)*$D$17,"j"))</f>
        <v>3.97887357729737E-018-4.99999999999999E-010j</v>
      </c>
      <c r="K90" s="140" t="str">
        <f>IMSUM(IF($D$9,$H90,0),IF($D$7,$I90,0),IF($D$8,$J90,0))</f>
        <v>1.1999800020002E-005+1.999795019998E-004j</v>
      </c>
      <c r="L90" s="139" t="str">
        <f>IMPRODUCT($D$22,$K90)</f>
        <v>4.7999200080008E-006+7.999180079992E-005j</v>
      </c>
      <c r="M90" s="377">
        <f>IMABS($L90)</f>
        <v>8.013568136165868E-05</v>
      </c>
      <c r="N90" s="141">
        <f t="shared" si="38"/>
        <v>12478.83568228391</v>
      </c>
      <c r="O90" s="498">
        <f t="shared" si="39"/>
        <v>0.9930341914335045</v>
      </c>
      <c r="P90" s="141">
        <f t="shared" si="40"/>
        <v>24.957671364567823</v>
      </c>
      <c r="Q90" s="141">
        <f t="shared" si="41"/>
        <v>313627.3480385385</v>
      </c>
      <c r="R90" s="141">
        <f t="shared" si="42"/>
        <v>3941157490.2508864</v>
      </c>
      <c r="S90" s="119" t="str">
        <f>IMDIV(1/$D$37,COMPLEX(1-$B90*$B90*$D$40*$D$40,$B90*2*$D$26*$D$40,"j"))</f>
        <v>-3.16826636273782E-006-1.58512388379629E-009j</v>
      </c>
      <c r="T90" s="111">
        <f>IMABS($S90)</f>
        <v>3.1682667592665964E-06</v>
      </c>
      <c r="U90" s="111">
        <f t="shared" si="43"/>
        <v>6.336533518533193E-09</v>
      </c>
      <c r="V90" s="143">
        <f t="shared" si="44"/>
        <v>1.0006252656346468</v>
      </c>
      <c r="W90" s="144">
        <f t="shared" si="45"/>
        <v>7.962722860419744E-05</v>
      </c>
      <c r="X90" s="22" t="str">
        <f>IMPRODUCT(IMDIV($D$28,COMPLEX(1,$B90*$D$29,"j")),$AW90)</f>
        <v>5000000000</v>
      </c>
      <c r="Y90" s="124">
        <f>IMABS($X90)</f>
        <v>5000000000</v>
      </c>
      <c r="Z90" s="111" t="str">
        <f>IMPRODUCT($S90,$X90)</f>
        <v>-15841.3318136891-7.92561941898145j</v>
      </c>
      <c r="AA90" s="197">
        <f>IMABS($Z90)</f>
        <v>15841.333796332983</v>
      </c>
      <c r="AB90" s="111">
        <f t="shared" si="46"/>
        <v>31.682667592665968</v>
      </c>
      <c r="AC90" s="111">
        <f t="shared" si="47"/>
        <v>5003126328.173235</v>
      </c>
      <c r="AD90" s="145">
        <f t="shared" si="48"/>
        <v>398136.1430209873</v>
      </c>
      <c r="AE90" s="119" t="str">
        <f>IMPRODUCT($L90,$Z90)</f>
        <v>-7.54031409561268E-002-1.26721470118528j</v>
      </c>
      <c r="AF90" s="141">
        <f>IMABS($AE90)</f>
        <v>1.2694560774466155</v>
      </c>
      <c r="AG90" s="111">
        <f t="shared" si="59"/>
        <v>0.2694560774466155</v>
      </c>
      <c r="AH90" s="106">
        <f>IF(AND(IMREAL(AE90)&lt;0,IMAGINARY(AE90)&gt;0),180/PI()*IMARGUMENT($AE90)-360,180/PI()*IMARGUMENT($AE90))</f>
        <v>-93.40525857527037</v>
      </c>
      <c r="AI90" s="111" t="str">
        <f>IMDIV($Z90,IMSUM(1,IMPRODUCT($Z90,$L90)))</f>
        <v>-5948.19690235464-8160.92776632446j</v>
      </c>
      <c r="AJ90" s="141">
        <f>IMABS($AI90)</f>
        <v>10098.603289383482</v>
      </c>
      <c r="AK90" s="147">
        <f>180/PI()*IMARGUMENT($AI90)</f>
        <v>-126.08691666780922</v>
      </c>
      <c r="AL90" s="144">
        <f t="shared" si="49"/>
        <v>0.8036213159147276</v>
      </c>
      <c r="AM90" s="146">
        <f t="shared" si="50"/>
        <v>20.197206578766963</v>
      </c>
      <c r="AN90" s="119" t="str">
        <f>IMPRODUCT($AI90,COMPLEX(0,$B90,"j"),$D$24)</f>
        <v>205106.485737296-149494.493524344j</v>
      </c>
      <c r="AO90" s="142">
        <f>IMABS(AN90)</f>
        <v>253805.58324356013</v>
      </c>
      <c r="AP90" s="132">
        <f>180/PI()*IMARGUMENT($AN90)</f>
        <v>-36.086916667809234</v>
      </c>
      <c r="AQ90" s="133">
        <f t="shared" si="51"/>
        <v>3189415023.0321493</v>
      </c>
      <c r="AR90" s="133">
        <f t="shared" si="53"/>
        <v>2.7368100297646494E-08</v>
      </c>
      <c r="AS90" s="779">
        <f t="shared" si="54"/>
        <v>10.961666931109512</v>
      </c>
      <c r="AT90" s="143">
        <f t="shared" si="55"/>
        <v>10000000</v>
      </c>
      <c r="AU90" s="120">
        <f t="shared" si="56"/>
        <v>500</v>
      </c>
      <c r="AV90" s="130">
        <f t="shared" si="57"/>
        <v>25.000000000000004</v>
      </c>
      <c r="AW90" s="582" t="str">
        <f>IF($D$10,IMDIV(COMPLEX(1,$B90/$D$49,"j"),COMPLEX(1,$B90/$D$50,"j")),COMPLEX(1,0,"j"))</f>
        <v>1</v>
      </c>
      <c r="AX90" s="149">
        <f>IMABS(AW90)</f>
        <v>1</v>
      </c>
      <c r="AY90" s="111"/>
    </row>
    <row r="91" spans="1:51" ht="15" customHeight="1">
      <c r="A91" s="118">
        <v>3000</v>
      </c>
      <c r="B91" s="130">
        <f t="shared" si="58"/>
        <v>18849.55592153876</v>
      </c>
      <c r="C91" s="199"/>
      <c r="D91" s="664"/>
      <c r="E91" s="122"/>
      <c r="F91" s="122"/>
      <c r="G91" s="179"/>
      <c r="H91" s="139" t="str">
        <f>IMDIV(COMPLEX(0,$D$15*$D$23*$B91,"j"),COMPLEX(1,$B91*$D$16*$D$15*$D$23,"j"))</f>
        <v>4.49898772776125E-006+2.99932515184084E-004j</v>
      </c>
      <c r="I91" s="145">
        <f t="shared" si="52"/>
        <v>1E-05</v>
      </c>
      <c r="J91" s="150" t="str">
        <f>IMDIV(IF($D$12,$D$52/$D$19,$D$53)/$D$21,COMPLEX(1,$B91*IF($D$12,$D$52,$D$53*$D$19)*$D$17,"j"))</f>
        <v>1.76838825657661E-018-3.33333333333333E-010j</v>
      </c>
      <c r="K91" s="140" t="str">
        <f>IMSUM(IF($D$9,$H91,0),IF($D$7,$I91,0),IF($D$8,$J91,0))</f>
        <v>1.4498987727763E-005+2.99932181850751E-004j</v>
      </c>
      <c r="L91" s="139" t="str">
        <f>IMPRODUCT($D$22,$K91)</f>
        <v>5.7995950911052E-006+1.199728727403E-004j</v>
      </c>
      <c r="M91" s="377">
        <f>IMABS($L91)</f>
        <v>0.00012011296972759017</v>
      </c>
      <c r="N91" s="141">
        <f t="shared" si="38"/>
        <v>8325.495591924393</v>
      </c>
      <c r="O91" s="498">
        <f t="shared" si="39"/>
        <v>0.4416812590481841</v>
      </c>
      <c r="P91" s="141">
        <f t="shared" si="40"/>
        <v>16.650991183848788</v>
      </c>
      <c r="Q91" s="141">
        <f t="shared" si="41"/>
        <v>313863.7894690066</v>
      </c>
      <c r="R91" s="141">
        <f t="shared" si="42"/>
        <v>5916193051.342108</v>
      </c>
      <c r="S91" s="119" t="str">
        <f>IMDIV(1/$D$37,COMPLEX(1-$B91*$B91*$D$40*$D$40,$B91*2*$D$26*$D$40,"j"))</f>
        <v>-1.40762951345058E-006-4.69340210097443E-010j</v>
      </c>
      <c r="T91" s="111">
        <f>IMABS($S91)</f>
        <v>1.4076295916956808E-06</v>
      </c>
      <c r="U91" s="111">
        <f t="shared" si="43"/>
        <v>2.8152591833913616E-09</v>
      </c>
      <c r="V91" s="143">
        <f t="shared" si="44"/>
        <v>1.000277799357838</v>
      </c>
      <c r="W91" s="144">
        <f t="shared" si="45"/>
        <v>5.306638541096101E-05</v>
      </c>
      <c r="X91" s="22" t="str">
        <f>IMPRODUCT(IMDIV($D$28,COMPLEX(1,$B91*$D$29,"j")),$AW91)</f>
        <v>5000000000</v>
      </c>
      <c r="Y91" s="124">
        <f>IMABS($X91)</f>
        <v>5000000000</v>
      </c>
      <c r="Z91" s="111" t="str">
        <f>IMPRODUCT($S91,$X91)</f>
        <v>-7038.1475672529-2.34670105048721j</v>
      </c>
      <c r="AA91" s="197">
        <f>IMABS($Z91)</f>
        <v>7038.147958478405</v>
      </c>
      <c r="AB91" s="111">
        <f t="shared" si="46"/>
        <v>14.07629591695681</v>
      </c>
      <c r="AC91" s="111">
        <f t="shared" si="47"/>
        <v>5001388996.78919</v>
      </c>
      <c r="AD91" s="145">
        <f t="shared" si="48"/>
        <v>265331.92705480504</v>
      </c>
      <c r="AE91" s="119" t="str">
        <f>IMPRODUCT($L91,$Z91)</f>
        <v>-4.05368656150243E-002-0.844400392329377j</v>
      </c>
      <c r="AF91" s="141">
        <f>IMABS($AE91)</f>
        <v>0.8453728526750172</v>
      </c>
      <c r="AG91" s="111">
        <f t="shared" si="59"/>
        <v>0.15462714732498284</v>
      </c>
      <c r="AH91" s="106">
        <f>IF(AND(IMREAL(AE91)&lt;0,IMAGINARY(AE91)&gt;0),180/PI()*IMARGUMENT($AE91)-360,180/PI()*IMARGUMENT($AE91))</f>
        <v>-92.74847045489656</v>
      </c>
      <c r="AI91" s="111" t="str">
        <f>IMDIV($Z91,IMSUM(1,IMPRODUCT($Z91,$L91)))</f>
        <v>-4132.55258509878-3639.40583029071j</v>
      </c>
      <c r="AJ91" s="141">
        <f>IMABS($AI91)</f>
        <v>5506.656487031003</v>
      </c>
      <c r="AK91" s="147">
        <f>180/PI()*IMARGUMENT($AI91)</f>
        <v>-138.63066778112608</v>
      </c>
      <c r="AL91" s="144">
        <f t="shared" si="49"/>
        <v>0.29213719994001186</v>
      </c>
      <c r="AM91" s="146">
        <f t="shared" si="50"/>
        <v>11.013312974062007</v>
      </c>
      <c r="AN91" s="119" t="str">
        <f>IMPRODUCT($AI91,COMPLEX(0,$B91,"j"),$D$24)</f>
        <v>137202.367438478-155793.562103038j</v>
      </c>
      <c r="AO91" s="142">
        <f>IMABS(AN91)</f>
        <v>207596.05878599014</v>
      </c>
      <c r="AP91" s="132">
        <f>180/PI()*IMARGUMENT($AN91)</f>
        <v>-48.63066778112604</v>
      </c>
      <c r="AQ91" s="133">
        <f t="shared" si="51"/>
        <v>3913093519.177569</v>
      </c>
      <c r="AR91" s="133">
        <f t="shared" si="53"/>
        <v>1.4953710018872714E-08</v>
      </c>
      <c r="AS91" s="779">
        <f t="shared" si="54"/>
        <v>20.061911032203867</v>
      </c>
      <c r="AT91" s="143">
        <f t="shared" si="55"/>
        <v>15000000.000000002</v>
      </c>
      <c r="AU91" s="120">
        <f t="shared" si="56"/>
        <v>500</v>
      </c>
      <c r="AV91" s="130">
        <f t="shared" si="57"/>
        <v>16.666666666666668</v>
      </c>
      <c r="AW91" s="582" t="str">
        <f>IF($D$10,IMDIV(COMPLEX(1,$B91/$D$49,"j"),COMPLEX(1,$B91/$D$50,"j")),COMPLEX(1,0,"j"))</f>
        <v>1</v>
      </c>
      <c r="AX91" s="149">
        <f>IMABS(AW91)</f>
        <v>1</v>
      </c>
      <c r="AY91" s="111"/>
    </row>
    <row r="92" spans="1:51" ht="15" customHeight="1">
      <c r="A92" s="118">
        <v>4000</v>
      </c>
      <c r="B92" s="130">
        <f t="shared" si="58"/>
        <v>25132.741228718343</v>
      </c>
      <c r="C92" s="199"/>
      <c r="D92" s="665"/>
      <c r="E92" s="122"/>
      <c r="F92" s="122"/>
      <c r="G92" s="179"/>
      <c r="H92" s="139" t="str">
        <f>IMDIV(COMPLEX(0,$D$15*$D$23*$B92,"j"),COMPLEX(1,$B92*$D$16*$D$15*$D$23,"j"))</f>
        <v>7.99680127948821E-006+3.9984006397441E-004j</v>
      </c>
      <c r="I92" s="145">
        <f t="shared" si="52"/>
        <v>1E-05</v>
      </c>
      <c r="J92" s="150" t="str">
        <f>IMDIV(IF($D$12,$D$52/$D$19,$D$53)/$D$21,COMPLEX(1,$B92*IF($D$12,$D$52,$D$53*$D$19)*$D$17,"j"))</f>
        <v>9.94718394324349E-019-2.5E-010j</v>
      </c>
      <c r="K92" s="140" t="str">
        <f>IMSUM(IF($D$9,$H92,0),IF($D$7,$I92,0),IF($D$8,$J92,0))</f>
        <v>1.79968012794892E-005+3.9983981397441E-004j</v>
      </c>
      <c r="L92" s="139" t="str">
        <f>IMPRODUCT($D$22,$K92)</f>
        <v>7.19872051179568E-006+1.59935925589764E-004j</v>
      </c>
      <c r="M92" s="377">
        <f>IMABS($L92)</f>
        <v>0.00016009785092643022</v>
      </c>
      <c r="N92" s="141">
        <f t="shared" si="38"/>
        <v>6246.180034356176</v>
      </c>
      <c r="O92" s="498">
        <f t="shared" si="39"/>
        <v>0.24852760697742254</v>
      </c>
      <c r="P92" s="141">
        <f t="shared" si="40"/>
        <v>12.492360068712353</v>
      </c>
      <c r="Q92" s="141">
        <f t="shared" si="41"/>
        <v>313967.25294292165</v>
      </c>
      <c r="R92" s="141">
        <f t="shared" si="42"/>
        <v>7890857722.506007</v>
      </c>
      <c r="S92" s="119" t="str">
        <f>IMDIV(1/$D$37,COMPLEX(1-$B92*$B92*$D$40*$D$40,$B92*2*$D$26*$D$40,"j"))</f>
        <v>-7.91695400123338E-007-1.97954780465282E-010j</v>
      </c>
      <c r="T92" s="111">
        <f>IMABS($S92)</f>
        <v>7.91695424871552E-07</v>
      </c>
      <c r="U92" s="111">
        <f t="shared" si="43"/>
        <v>1.583390849743104E-09</v>
      </c>
      <c r="V92" s="143">
        <f t="shared" si="44"/>
        <v>1.000156243153226</v>
      </c>
      <c r="W92" s="144">
        <f t="shared" si="45"/>
        <v>3.979495249051388E-05</v>
      </c>
      <c r="X92" s="22" t="str">
        <f>IMPRODUCT(IMDIV($D$28,COMPLEX(1,$B92*$D$29,"j")),$AW92)</f>
        <v>5000000000</v>
      </c>
      <c r="Y92" s="124">
        <f>IMABS($X92)</f>
        <v>5000000000</v>
      </c>
      <c r="Z92" s="111" t="str">
        <f>IMPRODUCT($S92,$X92)</f>
        <v>-3958.47700061669-0.98977390232641j</v>
      </c>
      <c r="AA92" s="197">
        <f>IMABS($Z92)</f>
        <v>3958.4771243577607</v>
      </c>
      <c r="AB92" s="111">
        <f t="shared" si="46"/>
        <v>7.916954248715522</v>
      </c>
      <c r="AC92" s="111">
        <f t="shared" si="47"/>
        <v>5000781215.76613</v>
      </c>
      <c r="AD92" s="145">
        <f t="shared" si="48"/>
        <v>198974.76245256944</v>
      </c>
      <c r="AE92" s="119" t="str">
        <f>IMPRODUCT($L92,$Z92)</f>
        <v>-2.83376691746176E-002-0.633109808125116j</v>
      </c>
      <c r="AF92" s="141">
        <f>IMABS($AE92)</f>
        <v>0.633743680551113</v>
      </c>
      <c r="AG92" s="111">
        <f t="shared" si="59"/>
        <v>0.36625631944888704</v>
      </c>
      <c r="AH92" s="106">
        <f>IF(AND(IMREAL(AE92)&lt;0,IMAGINARY(AE92)&gt;0),180/PI()*IMARGUMENT($AE92)-360,180/PI()*IMARGUMENT($AE92))</f>
        <v>-92.56281905605421</v>
      </c>
      <c r="AI92" s="111" t="str">
        <f>IMDIV($Z92,IMSUM(1,IMPRODUCT($Z92,$L92)))</f>
        <v>-2859.33307135306-1864.08542207649j</v>
      </c>
      <c r="AJ92" s="141">
        <f>IMABS($AI92)</f>
        <v>3413.2975366544606</v>
      </c>
      <c r="AK92" s="147">
        <f>180/PI()*IMARGUMENT($AI92)</f>
        <v>-146.89845820151388</v>
      </c>
      <c r="AL92" s="144">
        <f t="shared" si="49"/>
        <v>0.13581079380048683</v>
      </c>
      <c r="AM92" s="146">
        <f t="shared" si="50"/>
        <v>6.826595073308921</v>
      </c>
      <c r="AN92" s="119" t="str">
        <f>IMPRODUCT($AI92,COMPLEX(0,$B92,"j"),$D$24)</f>
        <v>93699.1530825491-143725.756338066j</v>
      </c>
      <c r="AO92" s="142">
        <f>IMABS(AN92)</f>
        <v>171571.04745071675</v>
      </c>
      <c r="AP92" s="132">
        <f>180/PI()*IMARGUMENT($AN92)</f>
        <v>-56.89845820151395</v>
      </c>
      <c r="AQ92" s="133">
        <f t="shared" si="51"/>
        <v>4312050737.919017</v>
      </c>
      <c r="AR92" s="133">
        <f t="shared" si="53"/>
        <v>9.499897256800032E-09</v>
      </c>
      <c r="AS92" s="779">
        <f t="shared" si="54"/>
        <v>31.5792889007573</v>
      </c>
      <c r="AT92" s="143">
        <f t="shared" si="55"/>
        <v>20000000</v>
      </c>
      <c r="AU92" s="120">
        <f t="shared" si="56"/>
        <v>500</v>
      </c>
      <c r="AV92" s="130">
        <f t="shared" si="57"/>
        <v>12.500000000000002</v>
      </c>
      <c r="AW92" s="582" t="str">
        <f>IF($D$10,IMDIV(COMPLEX(1,$B92/$D$49,"j"),COMPLEX(1,$B92/$D$50,"j")),COMPLEX(1,0,"j"))</f>
        <v>1</v>
      </c>
      <c r="AX92" s="149">
        <f>IMABS(AW92)</f>
        <v>1</v>
      </c>
      <c r="AY92" s="111"/>
    </row>
    <row r="93" spans="1:51" ht="15" customHeight="1">
      <c r="A93" s="118">
        <v>5000</v>
      </c>
      <c r="B93" s="130">
        <f t="shared" si="58"/>
        <v>31415.926535897932</v>
      </c>
      <c r="C93" s="199"/>
      <c r="D93" s="659"/>
      <c r="E93" s="122"/>
      <c r="F93" s="122"/>
      <c r="G93" s="179"/>
      <c r="H93" s="139" t="str">
        <f>IMDIV(COMPLEX(0,$D$15*$D$23*$B93,"j"),COMPLEX(1,$B93*$D$16*$D$15*$D$23,"j"))</f>
        <v>1.24921923797626E-005+4.99687695190506E-004j</v>
      </c>
      <c r="I93" s="145">
        <f t="shared" si="52"/>
        <v>1E-05</v>
      </c>
      <c r="J93" s="150" t="str">
        <f>IMDIV(IF($D$12,$D$52/$D$19,$D$53)/$D$21,COMPLEX(1,$B93*IF($D$12,$D$52,$D$53*$D$19)*$D$17,"j"))</f>
        <v>6.36619772367583E-019-2E-010j</v>
      </c>
      <c r="K93" s="140" t="str">
        <f>IMSUM(IF($D$9,$H93,0),IF($D$7,$I93,0),IF($D$8,$J93,0))</f>
        <v>2.24921923797632E-005+4.99687495190506E-004j</v>
      </c>
      <c r="L93" s="139" t="str">
        <f>IMPRODUCT($D$22,$K93)</f>
        <v>8.99687695190528E-006+1.99874998076202E-004j</v>
      </c>
      <c r="M93" s="377">
        <f>IMABS($L93)</f>
        <v>0.00020007738165732147</v>
      </c>
      <c r="N93" s="141">
        <f t="shared" si="38"/>
        <v>4998.066206767589</v>
      </c>
      <c r="O93" s="498">
        <f t="shared" si="39"/>
        <v>0.1590933885415242</v>
      </c>
      <c r="P93" s="141">
        <f t="shared" si="40"/>
        <v>9.996132413535179</v>
      </c>
      <c r="Q93" s="141">
        <f t="shared" si="41"/>
        <v>314037.76154672925</v>
      </c>
      <c r="R93" s="141">
        <f t="shared" si="42"/>
        <v>9865787246.249878</v>
      </c>
      <c r="S93" s="119" t="str">
        <f>IMDIV(1/$D$37,COMPLEX(1-$B93*$B93*$D$40*$D$40,$B93*2*$D$26*$D$40,"j"))</f>
        <v>-5.0665656359976E-007-1.01341446864638E-010j</v>
      </c>
      <c r="T93" s="111">
        <f>IMABS($S93)</f>
        <v>5.066565737349182E-07</v>
      </c>
      <c r="U93" s="111">
        <f t="shared" si="43"/>
        <v>1.0133131474698363E-09</v>
      </c>
      <c r="V93" s="143">
        <f t="shared" si="44"/>
        <v>1.0000999899950007</v>
      </c>
      <c r="W93" s="144">
        <f t="shared" si="45"/>
        <v>3.1834171398771885E-05</v>
      </c>
      <c r="X93" s="22" t="str">
        <f>IMPRODUCT(IMDIV($D$28,COMPLEX(1,$B93*$D$29,"j")),$AW93)</f>
        <v>5000000000</v>
      </c>
      <c r="Y93" s="124">
        <f>IMABS($X93)</f>
        <v>5000000000</v>
      </c>
      <c r="Z93" s="111" t="str">
        <f>IMPRODUCT($S93,$X93)</f>
        <v>-2533.2828179988-0.50670723432319j</v>
      </c>
      <c r="AA93" s="197">
        <f>IMABS($Z93)</f>
        <v>2533.2828686745906</v>
      </c>
      <c r="AB93" s="111">
        <f t="shared" si="46"/>
        <v>5.0665657373491815</v>
      </c>
      <c r="AC93" s="111">
        <f t="shared" si="47"/>
        <v>5000499949.975003</v>
      </c>
      <c r="AD93" s="145">
        <f t="shared" si="48"/>
        <v>159170.85699385943</v>
      </c>
      <c r="AE93" s="119" t="str">
        <f>IMPRODUCT($L93,$Z93)</f>
        <v>-2.26903556904255E-002-0.506344457156624j</v>
      </c>
      <c r="AF93" s="141">
        <f>IMABS($AE93)</f>
        <v>0.5068526033617607</v>
      </c>
      <c r="AG93" s="111">
        <f t="shared" si="59"/>
        <v>0.49314739663823925</v>
      </c>
      <c r="AH93" s="106">
        <f>IF(AND(IMREAL(AE93)&lt;0,IMAGINARY(AE93)&gt;0),180/PI()*IMARGUMENT($AE93)-360,180/PI()*IMARGUMENT($AE93))</f>
        <v>-92.56582730813149</v>
      </c>
      <c r="AI93" s="111" t="str">
        <f>IMDIV($Z93,IMSUM(1,IMPRODUCT($Z93,$L93)))</f>
        <v>-2043.34019324612-1059.17371653599j</v>
      </c>
      <c r="AJ93" s="141">
        <f>IMABS($AI93)</f>
        <v>2301.5403770378985</v>
      </c>
      <c r="AK93" s="147">
        <f>180/PI()*IMARGUMENT($AI93)</f>
        <v>-152.59985053567868</v>
      </c>
      <c r="AL93" s="144">
        <f t="shared" si="49"/>
        <v>0.07326030554623321</v>
      </c>
      <c r="AM93" s="146">
        <f t="shared" si="50"/>
        <v>4.603080754075797</v>
      </c>
      <c r="AN93" s="119" t="str">
        <f>IMPRODUCT($AI93,COMPLEX(0,$B93,"j"),$D$24)</f>
        <v>66549.8473348972-128386.850797735j</v>
      </c>
      <c r="AO93" s="142">
        <f>IMABS(AN93)</f>
        <v>144610.0468088507</v>
      </c>
      <c r="AP93" s="132">
        <f>180/PI()*IMARGUMENT($AN93)</f>
        <v>-62.59985053567867</v>
      </c>
      <c r="AQ93" s="133">
        <f t="shared" si="51"/>
        <v>4543058606.899621</v>
      </c>
      <c r="AR93" s="133">
        <f t="shared" si="53"/>
        <v>6.591550792254078E-09</v>
      </c>
      <c r="AS93" s="779">
        <f t="shared" si="54"/>
        <v>45.51281018004726</v>
      </c>
      <c r="AT93" s="143">
        <f t="shared" si="55"/>
        <v>25000000.000000004</v>
      </c>
      <c r="AU93" s="120">
        <f t="shared" si="56"/>
        <v>500</v>
      </c>
      <c r="AV93" s="130">
        <f t="shared" si="57"/>
        <v>10.000000000000002</v>
      </c>
      <c r="AW93" s="582" t="str">
        <f>IF($D$10,IMDIV(COMPLEX(1,$B93/$D$49,"j"),COMPLEX(1,$B93/$D$50,"j")),COMPLEX(1,0,"j"))</f>
        <v>1</v>
      </c>
      <c r="AX93" s="149">
        <f>IMABS(AW93)</f>
        <v>1</v>
      </c>
      <c r="AY93" s="111"/>
    </row>
    <row r="94" spans="1:51" ht="15" customHeight="1">
      <c r="A94" s="118">
        <v>6000</v>
      </c>
      <c r="B94" s="130">
        <f t="shared" si="58"/>
        <v>37699.11184307752</v>
      </c>
      <c r="C94" s="663"/>
      <c r="D94" s="651"/>
      <c r="E94" s="480"/>
      <c r="F94" s="122"/>
      <c r="G94" s="179"/>
      <c r="H94" s="139" t="str">
        <f>IMDIV(COMPLEX(0,$D$15*$D$23*$B94,"j"),COMPLEX(1,$B94*$D$16*$D$15*$D$23,"j"))</f>
        <v>1.79838145668898E-005+5.99460485562993E-004j</v>
      </c>
      <c r="I94" s="145">
        <f t="shared" si="52"/>
        <v>1E-05</v>
      </c>
      <c r="J94" s="150" t="str">
        <f>IMDIV(IF($D$12,$D$52/$D$19,$D$53)/$D$21,COMPLEX(1,$B94*IF($D$12,$D$52,$D$53*$D$19)*$D$17,"j"))</f>
        <v>4.42097064144154E-019-1.66666666666667E-010j</v>
      </c>
      <c r="K94" s="140" t="str">
        <f>IMSUM(IF($D$9,$H94,0),IF($D$7,$I94,0),IF($D$8,$J94,0))</f>
        <v>2.79838145668902E-005+5.99460318896326E-004j</v>
      </c>
      <c r="L94" s="139" t="str">
        <f>IMPRODUCT($D$22,$K94)</f>
        <v>1.11935258267561E-005+2.3978412755853E-004j</v>
      </c>
      <c r="M94" s="377">
        <f>IMABS($L94)</f>
        <v>0.00024004525167026244</v>
      </c>
      <c r="N94" s="141">
        <f t="shared" si="38"/>
        <v>4165.881195490788</v>
      </c>
      <c r="O94" s="498">
        <f t="shared" si="39"/>
        <v>0.11050343076598888</v>
      </c>
      <c r="P94" s="141">
        <f t="shared" si="40"/>
        <v>8.331762390981575</v>
      </c>
      <c r="Q94" s="141">
        <f t="shared" si="41"/>
        <v>314100.04222756135</v>
      </c>
      <c r="R94" s="141">
        <f t="shared" si="42"/>
        <v>11841292621.852207</v>
      </c>
      <c r="S94" s="119" t="str">
        <f>IMDIV(1/$D$37,COMPLEX(1-$B94*$B94*$D$40*$D$40,$B94*2*$D$26*$D$40,"j"))</f>
        <v>-3.51834088573754E-007-5.86430871989033E-011j</v>
      </c>
      <c r="T94" s="111">
        <f>IMABS($S94)</f>
        <v>3.5183409346101734E-07</v>
      </c>
      <c r="U94" s="111">
        <f t="shared" si="43"/>
        <v>7.036681869220347E-10</v>
      </c>
      <c r="V94" s="143">
        <f t="shared" si="44"/>
        <v>1.0000694353755286</v>
      </c>
      <c r="W94" s="144">
        <f t="shared" si="45"/>
        <v>2.652766567918936E-05</v>
      </c>
      <c r="X94" s="22" t="str">
        <f>IMPRODUCT(IMDIV($D$28,COMPLEX(1,$B94*$D$29,"j")),$AW94)</f>
        <v>5000000000</v>
      </c>
      <c r="Y94" s="124">
        <f>IMABS($X94)</f>
        <v>5000000000</v>
      </c>
      <c r="Z94" s="111" t="str">
        <f>IMPRODUCT($S94,$X94)</f>
        <v>-1759.17044286877-0.293215435994516j</v>
      </c>
      <c r="AA94" s="197">
        <f>IMABS($Z94)</f>
        <v>1759.1704673050865</v>
      </c>
      <c r="AB94" s="111">
        <f t="shared" si="46"/>
        <v>3.518340934610173</v>
      </c>
      <c r="AC94" s="111">
        <f t="shared" si="47"/>
        <v>5000347176.877643</v>
      </c>
      <c r="AD94" s="145">
        <f t="shared" si="48"/>
        <v>132638.3283959468</v>
      </c>
      <c r="AE94" s="119" t="str">
        <f>IMPRODUCT($L94,$Z94)</f>
        <v>-1.96210113784109E-002-0.421824431984596j</v>
      </c>
      <c r="AF94" s="141">
        <f>IMABS($AE94)</f>
        <v>0.4222805175551423</v>
      </c>
      <c r="AG94" s="111">
        <f t="shared" si="59"/>
        <v>0.5777194824448577</v>
      </c>
      <c r="AH94" s="106">
        <f>IF(AND(IMREAL(AE94)&lt;0,IMAGINARY(AE94)&gt;0),180/PI()*IMARGUMENT($AE94)-360,180/PI()*IMARGUMENT($AE94))</f>
        <v>-92.66317294409632</v>
      </c>
      <c r="AI94" s="111" t="str">
        <f>IMDIV($Z94,IMSUM(1,IMPRODUCT($Z94,$L94)))</f>
        <v>-1513.96903783576-651.709545266421j</v>
      </c>
      <c r="AJ94" s="141">
        <f>IMABS($AI94)</f>
        <v>1648.2801882315707</v>
      </c>
      <c r="AK94" s="147">
        <f>180/PI()*IMARGUMENT($AI94)</f>
        <v>-156.70985022333417</v>
      </c>
      <c r="AL94" s="144">
        <f t="shared" si="49"/>
        <v>0.04372198992624903</v>
      </c>
      <c r="AM94" s="146">
        <f t="shared" si="50"/>
        <v>3.2965603764631415</v>
      </c>
      <c r="AN94" s="119" t="str">
        <f>IMPRODUCT($AI94,COMPLEX(0,$B94,"j"),$D$24)</f>
        <v>49137.7420724-114150.576168654j</v>
      </c>
      <c r="AO94" s="142">
        <f>IMABS(AN94)</f>
        <v>124277.39832974212</v>
      </c>
      <c r="AP94" s="132">
        <f>180/PI()*IMARGUMENT($AN94)</f>
        <v>-66.70985022333424</v>
      </c>
      <c r="AQ94" s="133">
        <f t="shared" si="51"/>
        <v>4685147539.199627</v>
      </c>
      <c r="AR94" s="133">
        <f t="shared" si="53"/>
        <v>4.849504358019424E-09</v>
      </c>
      <c r="AS94" s="779">
        <f t="shared" si="54"/>
        <v>61.86199204129025</v>
      </c>
      <c r="AT94" s="143">
        <f t="shared" si="55"/>
        <v>30000000.000000004</v>
      </c>
      <c r="AU94" s="120">
        <f t="shared" si="56"/>
        <v>500</v>
      </c>
      <c r="AV94" s="130">
        <f t="shared" si="57"/>
        <v>8.333333333333334</v>
      </c>
      <c r="AW94" s="582" t="str">
        <f>IF($D$10,IMDIV(COMPLEX(1,$B94/$D$49,"j"),COMPLEX(1,$B94/$D$50,"j")),COMPLEX(1,0,"j"))</f>
        <v>1</v>
      </c>
      <c r="AX94" s="149">
        <f>IMABS(AW94)</f>
        <v>1</v>
      </c>
      <c r="AY94" s="111"/>
    </row>
    <row r="95" spans="1:51" ht="15" customHeight="1">
      <c r="A95" s="118">
        <v>7000</v>
      </c>
      <c r="B95" s="130">
        <f t="shared" si="58"/>
        <v>43982.2971502571</v>
      </c>
      <c r="C95" s="199"/>
      <c r="D95" s="653"/>
      <c r="E95" s="122"/>
      <c r="F95" s="651"/>
      <c r="G95" s="395"/>
      <c r="H95" s="139" t="str">
        <f>IMDIV(COMPLEX(0,$D$15*$D$23*$B95,"j"),COMPLEX(1,$B95*$D$16*$D$15*$D$23,"j"))</f>
        <v>2.44700242203301E-005+6.99143549152288E-004j</v>
      </c>
      <c r="I95" s="145">
        <f t="shared" si="52"/>
        <v>1E-05</v>
      </c>
      <c r="J95" s="150" t="str">
        <f>IMDIV(IF($D$12,$D$52/$D$19,$D$53)/$D$21,COMPLEX(1,$B95*IF($D$12,$D$52,$D$53*$D$19)*$D$17,"j"))</f>
        <v>3.24806006309991E-019-1.42857142857143E-010j</v>
      </c>
      <c r="K95" s="140" t="str">
        <f>IMSUM(IF($D$9,$H95,0),IF($D$7,$I95,0),IF($D$8,$J95,0))</f>
        <v>3.44700242203304E-005+6.99143406295145E-004j</v>
      </c>
      <c r="L95" s="139" t="str">
        <f>IMPRODUCT($D$22,$K95)</f>
        <v>1.37880096881322E-005+2.79657362518058E-004j</v>
      </c>
      <c r="M95" s="377">
        <f>IMABS($L95)</f>
        <v>0.00027999705288041254</v>
      </c>
      <c r="N95" s="141">
        <f t="shared" si="38"/>
        <v>3571.4661626352995</v>
      </c>
      <c r="O95" s="498">
        <f t="shared" si="39"/>
        <v>0.0812023562669787</v>
      </c>
      <c r="P95" s="141">
        <f t="shared" si="40"/>
        <v>7.142932325270599</v>
      </c>
      <c r="Q95" s="141">
        <f t="shared" si="41"/>
        <v>314162.5720542284</v>
      </c>
      <c r="R95" s="141">
        <f t="shared" si="42"/>
        <v>13817591597.57813</v>
      </c>
      <c r="S95" s="119" t="str">
        <f>IMDIV(1/$D$37,COMPLEX(1-$B95*$B95*$D$40*$D$40,$B95*2*$D$26*$D$40,"j"))</f>
        <v>-2.58485590015683E-007-3.69283969612691E-011j</v>
      </c>
      <c r="T95" s="111">
        <f>IMABS($S95)</f>
        <v>2.584855926535602E-07</v>
      </c>
      <c r="U95" s="111">
        <f t="shared" si="43"/>
        <v>5.169711853071205E-10</v>
      </c>
      <c r="V95" s="143">
        <f t="shared" si="44"/>
        <v>1.0000510128057336</v>
      </c>
      <c r="W95" s="144">
        <f t="shared" si="45"/>
        <v>2.2737580290298404E-05</v>
      </c>
      <c r="X95" s="22" t="str">
        <f>IMPRODUCT(IMDIV($D$28,COMPLEX(1,$B95*$D$29,"j")),$AW95)</f>
        <v>5000000000</v>
      </c>
      <c r="Y95" s="124">
        <f>IMABS($X95)</f>
        <v>5000000000</v>
      </c>
      <c r="Z95" s="111" t="str">
        <f>IMPRODUCT($S95,$X95)</f>
        <v>-1292.42795007842-0.184641984806346j</v>
      </c>
      <c r="AA95" s="197">
        <f>IMABS($Z95)</f>
        <v>1292.4279632678063</v>
      </c>
      <c r="AB95" s="111">
        <f t="shared" si="46"/>
        <v>2.5848559265356124</v>
      </c>
      <c r="AC95" s="111">
        <f t="shared" si="47"/>
        <v>5000255064.028687</v>
      </c>
      <c r="AD95" s="145">
        <f t="shared" si="48"/>
        <v>113687.90145149245</v>
      </c>
      <c r="AE95" s="119" t="str">
        <f>IMPRODUCT($L95,$Z95)</f>
        <v>-1.77683726064131E-002-0.361439537609027j</v>
      </c>
      <c r="AF95" s="141">
        <f>IMABS($AE95)</f>
        <v>0.36187602077522013</v>
      </c>
      <c r="AG95" s="111">
        <f t="shared" si="59"/>
        <v>0.6381239792247799</v>
      </c>
      <c r="AH95" s="106">
        <f>IF(AND(IMREAL(AE95)&lt;0,IMAGINARY(AE95)&gt;0),180/PI()*IMARGUMENT($AE95)-360,180/PI()*IMARGUMENT($AE95))</f>
        <v>-92.81439557305079</v>
      </c>
      <c r="AI95" s="111" t="str">
        <f>IMDIV($Z95,IMSUM(1,IMPRODUCT($Z95,$L95)))</f>
        <v>-1158.82470484589-426.609870612843j</v>
      </c>
      <c r="AJ95" s="141">
        <f>IMABS($AI95)</f>
        <v>1234.8565415729354</v>
      </c>
      <c r="AK95" s="147">
        <f>180/PI()*IMARGUMENT($AI95)</f>
        <v>-159.78931421051965</v>
      </c>
      <c r="AL95" s="144">
        <f t="shared" si="49"/>
        <v>0.028076217514385035</v>
      </c>
      <c r="AM95" s="146">
        <f t="shared" si="50"/>
        <v>2.4697130831458707</v>
      </c>
      <c r="AN95" s="119" t="str">
        <f>IMPRODUCT($AI95,COMPLEX(0,$B95,"j"),$D$24)</f>
        <v>37526.5641930536-101935.545027182j</v>
      </c>
      <c r="AO95" s="142">
        <f>IMABS(AN95)</f>
        <v>108623.65469879947</v>
      </c>
      <c r="AP95" s="132">
        <f>180/PI()*IMARGUMENT($AN95)</f>
        <v>-69.78931421051969</v>
      </c>
      <c r="AQ95" s="133">
        <f t="shared" si="51"/>
        <v>4777517858.509512</v>
      </c>
      <c r="AR95" s="133">
        <f t="shared" si="53"/>
        <v>3.720861136460798E-09</v>
      </c>
      <c r="AS95" s="779">
        <f t="shared" si="54"/>
        <v>80.6264971998803</v>
      </c>
      <c r="AT95" s="143">
        <f t="shared" si="55"/>
        <v>35000000</v>
      </c>
      <c r="AU95" s="120">
        <f t="shared" si="56"/>
        <v>500</v>
      </c>
      <c r="AV95" s="130">
        <f t="shared" si="57"/>
        <v>7.142857142857143</v>
      </c>
      <c r="AW95" s="582" t="str">
        <f>IF($D$10,IMDIV(COMPLEX(1,$B95/$D$49,"j"),COMPLEX(1,$B95/$D$50,"j")),COMPLEX(1,0,"j"))</f>
        <v>1</v>
      </c>
      <c r="AX95" s="149">
        <f>IMABS(AW95)</f>
        <v>1</v>
      </c>
      <c r="AY95" s="111"/>
    </row>
    <row r="96" spans="1:51" ht="15" customHeight="1">
      <c r="A96" s="118">
        <v>8000</v>
      </c>
      <c r="B96" s="130">
        <f t="shared" si="58"/>
        <v>50265.48245743669</v>
      </c>
      <c r="C96" s="199"/>
      <c r="D96" s="653"/>
      <c r="E96" s="122"/>
      <c r="F96" s="122"/>
      <c r="G96" s="179"/>
      <c r="H96" s="139" t="str">
        <f>IMDIV(COMPLEX(0,$D$15*$D$23*$B96,"j"),COMPLEX(1,$B96*$D$16*$D$15*$D$23,"j"))</f>
        <v>3.19488817891374E-005+7.98722044728434E-004j</v>
      </c>
      <c r="I96" s="145">
        <f t="shared" si="52"/>
        <v>1E-05</v>
      </c>
      <c r="J96" s="150" t="str">
        <f>IMDIV(IF($D$12,$D$52/$D$19,$D$53)/$D$21,COMPLEX(1,$B96*IF($D$12,$D$52,$D$53*$D$19)*$D$17,"j"))</f>
        <v>2.48679598581086E-019-1.25E-010j</v>
      </c>
      <c r="K96" s="140" t="str">
        <f>IMSUM(IF($D$9,$H96,0),IF($D$7,$I96,0),IF($D$8,$J96,0))</f>
        <v>4.19488817891377E-005+7.98721919728434E-004j</v>
      </c>
      <c r="L96" s="139" t="str">
        <f>IMPRODUCT($D$22,$K96)</f>
        <v>1.67795527156551E-005+3.19488767891374E-004j</v>
      </c>
      <c r="M96" s="377">
        <f>IMABS($L96)</f>
        <v>0.0003199290955791388</v>
      </c>
      <c r="N96" s="141">
        <f t="shared" si="38"/>
        <v>3125.692579444174</v>
      </c>
      <c r="O96" s="498">
        <f t="shared" si="39"/>
        <v>0.06218367807552464</v>
      </c>
      <c r="P96" s="141">
        <f t="shared" si="40"/>
        <v>6.251385158888348</v>
      </c>
      <c r="Q96" s="141">
        <f t="shared" si="41"/>
        <v>314228.8910387823</v>
      </c>
      <c r="R96" s="141">
        <f t="shared" si="42"/>
        <v>15794866810.129696</v>
      </c>
      <c r="S96" s="119" t="str">
        <f>IMDIV(1/$D$37,COMPLEX(1-$B96*$B96*$D$40*$D$40,$B96*2*$D$26*$D$40,"j"))</f>
        <v>-1.97900664203818E-007-2.47385493750622E-011j</v>
      </c>
      <c r="T96" s="111">
        <f>IMABS($S96)</f>
        <v>1.9790066575003774E-07</v>
      </c>
      <c r="U96" s="111">
        <f t="shared" si="43"/>
        <v>3.958013315000755E-10</v>
      </c>
      <c r="V96" s="143">
        <f t="shared" si="44"/>
        <v>1.0000390562125243</v>
      </c>
      <c r="W96" s="144">
        <f t="shared" si="45"/>
        <v>1.989514488514713E-05</v>
      </c>
      <c r="X96" s="22" t="str">
        <f>IMPRODUCT(IMDIV($D$28,COMPLEX(1,$B96*$D$29,"j")),$AW96)</f>
        <v>5000000000</v>
      </c>
      <c r="Y96" s="124">
        <f>IMABS($X96)</f>
        <v>5000000000</v>
      </c>
      <c r="Z96" s="111" t="str">
        <f>IMPRODUCT($S96,$X96)</f>
        <v>-989.50332101909-0.123692746875311j</v>
      </c>
      <c r="AA96" s="197">
        <f>IMABS($Z96)</f>
        <v>989.5033287501886</v>
      </c>
      <c r="AB96" s="111">
        <f t="shared" si="46"/>
        <v>1.9790066575003773</v>
      </c>
      <c r="AC96" s="111">
        <f t="shared" si="47"/>
        <v>5000195281.06262</v>
      </c>
      <c r="AD96" s="145">
        <f t="shared" si="48"/>
        <v>99475.72442573562</v>
      </c>
      <c r="AE96" s="119" t="str">
        <f>IMPRODUCT($L96,$Z96)</f>
        <v>-1.65639046940593E-002-0.316137272365779j</v>
      </c>
      <c r="AF96" s="141">
        <f>IMABS($AE96)</f>
        <v>0.3165709050395955</v>
      </c>
      <c r="AG96" s="111">
        <f t="shared" si="59"/>
        <v>0.6834290949604045</v>
      </c>
      <c r="AH96" s="106">
        <f>IF(AND(IMREAL(AE96)&lt;0,IMAGINARY(AE96)&gt;0),180/PI()*IMARGUMENT($AE96)-360,180/PI()*IMARGUMENT($AE96))</f>
        <v>-92.99925034179822</v>
      </c>
      <c r="AI96" s="111" t="str">
        <f>IMDIV($Z96,IMSUM(1,IMPRODUCT($Z96,$L96)))</f>
        <v>-911.895707708591-293.265536866642j</v>
      </c>
      <c r="AJ96" s="141">
        <f>IMABS($AI96)</f>
        <v>957.8927167752304</v>
      </c>
      <c r="AK96" s="147">
        <f>180/PI()*IMARGUMENT($AI96)</f>
        <v>-162.1722161456422</v>
      </c>
      <c r="AL96" s="144">
        <f t="shared" si="49"/>
        <v>0.019056670103312853</v>
      </c>
      <c r="AM96" s="146">
        <f t="shared" si="50"/>
        <v>1.9157854335504607</v>
      </c>
      <c r="AN96" s="119" t="str">
        <f>IMPRODUCT($AI96,COMPLEX(0,$B96,"j"),$D$24)</f>
        <v>29482.2673974819-91673.755397676j</v>
      </c>
      <c r="AO96" s="142">
        <f>IMABS(AN96)</f>
        <v>96297.87910234343</v>
      </c>
      <c r="AP96" s="132">
        <f>180/PI()*IMARGUMENT($AN96)</f>
        <v>-72.1722161456422</v>
      </c>
      <c r="AQ96" s="133">
        <f t="shared" si="51"/>
        <v>4840459352.707202</v>
      </c>
      <c r="AR96" s="133">
        <f t="shared" si="53"/>
        <v>2.946779878328741E-09</v>
      </c>
      <c r="AS96" s="779">
        <f t="shared" si="54"/>
        <v>101.8060433377685</v>
      </c>
      <c r="AT96" s="143">
        <f t="shared" si="55"/>
        <v>40000000</v>
      </c>
      <c r="AU96" s="120">
        <f t="shared" si="56"/>
        <v>500</v>
      </c>
      <c r="AV96" s="130">
        <f t="shared" si="57"/>
        <v>6.250000000000001</v>
      </c>
      <c r="AW96" s="582" t="str">
        <f>IF($D$10,IMDIV(COMPLEX(1,$B96/$D$49,"j"),COMPLEX(1,$B96/$D$50,"j")),COMPLEX(1,0,"j"))</f>
        <v>1</v>
      </c>
      <c r="AX96" s="149">
        <f>IMABS(AW96)</f>
        <v>1</v>
      </c>
      <c r="AY96" s="111"/>
    </row>
    <row r="97" spans="1:51" ht="15" customHeight="1">
      <c r="A97" s="118">
        <v>9000</v>
      </c>
      <c r="B97" s="130">
        <f t="shared" si="58"/>
        <v>56548.66776461628</v>
      </c>
      <c r="C97" s="199"/>
      <c r="D97" s="653"/>
      <c r="E97" s="122"/>
      <c r="F97" s="122"/>
      <c r="G97" s="179"/>
      <c r="H97" s="139" t="str">
        <f>IMDIV(COMPLEX(0,$D$15*$D$23*$B97,"j"),COMPLEX(1,$B97*$D$16*$D$15*$D$23,"j"))</f>
        <v>4.04181532396896E-005+8.98181183104214E-004j</v>
      </c>
      <c r="I97" s="145">
        <f t="shared" si="52"/>
        <v>1E-05</v>
      </c>
      <c r="J97" s="150" t="str">
        <f>IMDIV(IF($D$12,$D$52/$D$19,$D$53)/$D$21,COMPLEX(1,$B97*IF($D$12,$D$52,$D$53*$D$19)*$D$17,"j"))</f>
        <v>1.96487584064068E-019-1.11111111111111E-010j</v>
      </c>
      <c r="K97" s="140" t="str">
        <f>IMSUM(IF($D$9,$H97,0),IF($D$7,$I97,0),IF($D$8,$J97,0))</f>
        <v>5.04181532396898E-005+8.98181071993103E-004j</v>
      </c>
      <c r="L97" s="139" t="str">
        <f>IMPRODUCT($D$22,$K97)</f>
        <v>2.01672612958759E-005+3.59272428797241E-004j</v>
      </c>
      <c r="M97" s="377">
        <f>IMABS($L97)</f>
        <v>0.00035983801428148855</v>
      </c>
      <c r="N97" s="141">
        <f t="shared" si="38"/>
        <v>2779.028230235106</v>
      </c>
      <c r="O97" s="498">
        <f t="shared" si="39"/>
        <v>0.049144008870426546</v>
      </c>
      <c r="P97" s="141">
        <f t="shared" si="40"/>
        <v>5.558056460470213</v>
      </c>
      <c r="Q97" s="141">
        <f t="shared" si="41"/>
        <v>314300.6882001092</v>
      </c>
      <c r="R97" s="141">
        <f t="shared" si="42"/>
        <v>17773285195.218227</v>
      </c>
      <c r="S97" s="119" t="str">
        <f>IMDIV(1/$D$37,COMPLEX(1-$B97*$B97*$D$40*$D$40,$B97*2*$D$26*$D$40,"j"))</f>
        <v>-1.56364675439646E-007-1.73743890732037E-011j</v>
      </c>
      <c r="T97" s="111">
        <f>IMABS($S97)</f>
        <v>1.5636467640491963E-07</v>
      </c>
      <c r="U97" s="111">
        <f t="shared" si="43"/>
        <v>3.1272935280983924E-10</v>
      </c>
      <c r="V97" s="143">
        <f t="shared" si="44"/>
        <v>1.0000308589767486</v>
      </c>
      <c r="W97" s="144">
        <f t="shared" si="45"/>
        <v>1.768442827228707E-05</v>
      </c>
      <c r="X97" s="22" t="str">
        <f>IMPRODUCT(IMDIV($D$28,COMPLEX(1,$B97*$D$29,"j")),$AW97)</f>
        <v>5000000000</v>
      </c>
      <c r="Y97" s="124">
        <f>IMABS($X97)</f>
        <v>5000000000</v>
      </c>
      <c r="Z97" s="111" t="str">
        <f>IMPRODUCT($S97,$X97)</f>
        <v>-781.82337719823-8.68719453660185E-002j</v>
      </c>
      <c r="AA97" s="197">
        <f>IMABS($Z97)</f>
        <v>781.8233820245981</v>
      </c>
      <c r="AB97" s="111">
        <f t="shared" si="46"/>
        <v>1.5636467640491962</v>
      </c>
      <c r="AC97" s="111">
        <f t="shared" si="47"/>
        <v>5000154294.883742</v>
      </c>
      <c r="AD97" s="145">
        <f t="shared" si="48"/>
        <v>88422.14136143534</v>
      </c>
      <c r="AE97" s="119" t="str">
        <f>IMPRODUCT($L97,$Z97)</f>
        <v>-1.57360256403749E-002-0.280889335585691j</v>
      </c>
      <c r="AF97" s="141">
        <f>IMABS($AE97)</f>
        <v>0.281329773306569</v>
      </c>
      <c r="AG97" s="111">
        <f t="shared" si="59"/>
        <v>0.7186702266934311</v>
      </c>
      <c r="AH97" s="106">
        <f>IF(AND(IMREAL(AE97)&lt;0,IMAGINARY(AE97)&gt;0),180/PI()*IMARGUMENT($AE97)-360,180/PI()*IMARGUMENT($AE97))</f>
        <v>-93.20648129710229</v>
      </c>
      <c r="AI97" s="111" t="str">
        <f>IMDIV($Z97,IMSUM(1,IMPRODUCT($Z97,$L97)))</f>
        <v>-734.480283550171-209.694305764718j</v>
      </c>
      <c r="AJ97" s="141">
        <f>IMABS($AI97)</f>
        <v>763.8278528530409</v>
      </c>
      <c r="AK97" s="147">
        <f>180/PI()*IMARGUMENT($AI97)</f>
        <v>-164.06594246183388</v>
      </c>
      <c r="AL97" s="144">
        <f t="shared" si="49"/>
        <v>0.013507442050314481</v>
      </c>
      <c r="AM97" s="146">
        <f t="shared" si="50"/>
        <v>1.5276557057060818</v>
      </c>
      <c r="AN97" s="119" t="str">
        <f>IMPRODUCT($AI97,COMPLEX(0,$B97,"j"),$D$24)</f>
        <v>23715.8672576418-83067.7630682796j</v>
      </c>
      <c r="AO97" s="142">
        <f>IMABS(AN97)</f>
        <v>86386.89496069368</v>
      </c>
      <c r="AP97" s="132">
        <f>180/PI()*IMARGUMENT($AN97)</f>
        <v>-74.06594246183388</v>
      </c>
      <c r="AQ97" s="133">
        <f t="shared" si="51"/>
        <v>4885063822.349069</v>
      </c>
      <c r="AR97" s="133">
        <f t="shared" si="53"/>
        <v>2.3923373826954912E-09</v>
      </c>
      <c r="AS97" s="779">
        <f t="shared" si="54"/>
        <v>125.40037294488305</v>
      </c>
      <c r="AT97" s="143">
        <f t="shared" si="55"/>
        <v>45000000.00000001</v>
      </c>
      <c r="AU97" s="120">
        <f t="shared" si="56"/>
        <v>500</v>
      </c>
      <c r="AV97" s="130">
        <f t="shared" si="57"/>
        <v>5.555555555555555</v>
      </c>
      <c r="AW97" s="582" t="str">
        <f>IF($D$10,IMDIV(COMPLEX(1,$B97/$D$49,"j"),COMPLEX(1,$B97/$D$50,"j")),COMPLEX(1,0,"j"))</f>
        <v>1</v>
      </c>
      <c r="AX97" s="149">
        <f>IMABS(AW97)</f>
        <v>1</v>
      </c>
      <c r="AY97" s="111"/>
    </row>
    <row r="98" spans="1:51" ht="15" customHeight="1">
      <c r="A98" s="358">
        <v>10000</v>
      </c>
      <c r="B98" s="130">
        <f t="shared" si="58"/>
        <v>62831.853071795864</v>
      </c>
      <c r="C98" s="199"/>
      <c r="D98" s="654"/>
      <c r="E98" s="122"/>
      <c r="F98" s="122"/>
      <c r="G98" s="179"/>
      <c r="H98" s="139" t="str">
        <f>IMDIV(COMPLEX(0,$D$15*$D$23*$B98,"j"),COMPLEX(1,$B98*$D$16*$D$15*$D$23,"j"))</f>
        <v>4.98753117206983E-005+9.97506234413965E-004j</v>
      </c>
      <c r="I98" s="145">
        <f t="shared" si="52"/>
        <v>1E-05</v>
      </c>
      <c r="J98" s="150" t="str">
        <f>IMDIV(IF($D$12,$D$52/$D$19,$D$53)/$D$21,COMPLEX(1,$B98*IF($D$12,$D$52,$D$53*$D$19)*$D$17,"j"))</f>
        <v>1.59154943091895E-019-9.99999999999999E-011j</v>
      </c>
      <c r="K98" s="140" t="str">
        <f>IMSUM(IF($D$9,$H98,0),IF($D$7,$I98,0),IF($D$8,$J98,0))</f>
        <v>5.98753117206985E-005+9.97506134413965E-004j</v>
      </c>
      <c r="L98" s="139" t="str">
        <f>IMPRODUCT($D$22,$K98)</f>
        <v>2.39501246882794E-005+3.99002453765586E-004j</v>
      </c>
      <c r="M98" s="377">
        <f>IMABS($L98)</f>
        <v>0.0003997206106564218</v>
      </c>
      <c r="N98" s="141">
        <f t="shared" si="38"/>
        <v>2501.747403912444</v>
      </c>
      <c r="O98" s="498">
        <f t="shared" si="39"/>
        <v>0.039816546569998196</v>
      </c>
      <c r="P98" s="141">
        <f t="shared" si="40"/>
        <v>5.003494807824888</v>
      </c>
      <c r="Q98" s="141">
        <f t="shared" si="41"/>
        <v>314378.8506107468</v>
      </c>
      <c r="R98" s="141">
        <f t="shared" si="42"/>
        <v>19753005750.454506</v>
      </c>
      <c r="S98" s="119" t="str">
        <f>IMDIV(1/$D$37,COMPLEX(1-$B98*$B98*$D$40*$D$40,$B98*2*$D$26*$D$40,"j"))</f>
        <v>-1.2665464465246E-007-1.26657811097738E-011j</v>
      </c>
      <c r="T98" s="111">
        <f>IMABS($S98)</f>
        <v>1.2665464528576488E-07</v>
      </c>
      <c r="U98" s="111">
        <f t="shared" si="43"/>
        <v>2.5330929057152976E-10</v>
      </c>
      <c r="V98" s="143">
        <f t="shared" si="44"/>
        <v>1.0000249956246372</v>
      </c>
      <c r="W98" s="144">
        <f t="shared" si="45"/>
        <v>1.5915892126911203E-05</v>
      </c>
      <c r="X98" s="22" t="str">
        <f>IMPRODUCT(IMDIV($D$28,COMPLEX(1,$B98*$D$29,"j")),$AW98)</f>
        <v>5000000000</v>
      </c>
      <c r="Y98" s="124">
        <f>IMABS($X98)</f>
        <v>5000000000</v>
      </c>
      <c r="Z98" s="111" t="str">
        <f>IMPRODUCT($S98,$X98)</f>
        <v>-633.2732232623-6.3328905548869E-002j</v>
      </c>
      <c r="AA98" s="197">
        <f>IMABS($Z98)</f>
        <v>633.2732264288244</v>
      </c>
      <c r="AB98" s="111">
        <f t="shared" si="46"/>
        <v>1.2665464528576489</v>
      </c>
      <c r="AC98" s="111">
        <f t="shared" si="47"/>
        <v>5000124978.123186</v>
      </c>
      <c r="AD98" s="145">
        <f t="shared" si="48"/>
        <v>79579.46063455602</v>
      </c>
      <c r="AE98" s="119" t="str">
        <f>IMPRODUCT($L98,$Z98)</f>
        <v>-1.51417042701724E-002-0.252679086720884j</v>
      </c>
      <c r="AF98" s="141">
        <f>IMABS($AE98)</f>
        <v>0.25313236078049245</v>
      </c>
      <c r="AG98" s="111">
        <f t="shared" si="59"/>
        <v>0.7468676392195075</v>
      </c>
      <c r="AH98" s="106">
        <f>IF(AND(IMREAL(AE98)&lt;0,IMAGINARY(AE98)&gt;0),180/PI()*IMARGUMENT($AE98)-360,180/PI()*IMARGUMENT($AE98))</f>
        <v>-93.4293282390467</v>
      </c>
      <c r="AI98" s="111" t="str">
        <f>IMDIV($Z98,IMSUM(1,IMPRODUCT($Z98,$L98)))</f>
        <v>-603.281930473376-154.844668308107j</v>
      </c>
      <c r="AJ98" s="141">
        <f>IMABS($AI98)</f>
        <v>622.8370243804802</v>
      </c>
      <c r="AK98" s="147">
        <f>180/PI()*IMARGUMENT($AI98)</f>
        <v>-165.60461585411994</v>
      </c>
      <c r="AL98" s="144">
        <f t="shared" si="49"/>
        <v>0.009912759117080075</v>
      </c>
      <c r="AM98" s="146">
        <f t="shared" si="50"/>
        <v>1.2456740487609606</v>
      </c>
      <c r="AN98" s="119" t="str">
        <f>IMPRODUCT($AI98,COMPLEX(0,$B98,"j"),$D$24)</f>
        <v>19458.3548961719-75810.6432327451j</v>
      </c>
      <c r="AO98" s="142">
        <f>IMABS(AN98)</f>
        <v>78268.0088070978</v>
      </c>
      <c r="AP98" s="132">
        <f>180/PI()*IMARGUMENT($AN98)</f>
        <v>-75.60461585411994</v>
      </c>
      <c r="AQ98" s="133">
        <f t="shared" si="51"/>
        <v>4917724029.58959</v>
      </c>
      <c r="AR98" s="133">
        <f t="shared" si="53"/>
        <v>1.9813850028066296E-09</v>
      </c>
      <c r="AS98" s="779">
        <f t="shared" si="54"/>
        <v>151.40924130093362</v>
      </c>
      <c r="AT98" s="143">
        <f t="shared" si="55"/>
        <v>50000000.00000001</v>
      </c>
      <c r="AU98" s="120">
        <f t="shared" si="56"/>
        <v>500</v>
      </c>
      <c r="AV98" s="130">
        <f t="shared" si="57"/>
        <v>5.000000000000001</v>
      </c>
      <c r="AW98" s="582" t="str">
        <f>IF($D$10,IMDIV(COMPLEX(1,$B98/$D$49,"j"),COMPLEX(1,$B98/$D$50,"j")),COMPLEX(1,0,"j"))</f>
        <v>1</v>
      </c>
      <c r="AX98" s="149">
        <f>IMABS(AW98)</f>
        <v>1</v>
      </c>
      <c r="AY98" s="111"/>
    </row>
    <row r="99" spans="1:51" ht="15" customHeight="1">
      <c r="A99" s="358">
        <v>15000</v>
      </c>
      <c r="B99" s="144">
        <f t="shared" si="58"/>
        <v>94247.7796076938</v>
      </c>
      <c r="C99" s="199"/>
      <c r="D99" s="653"/>
      <c r="E99" s="122"/>
      <c r="F99" s="122"/>
      <c r="G99" s="179"/>
      <c r="H99" s="139" t="str">
        <f>IMDIV(COMPLEX(0,$D$15*$D$23*$B99,"j"),COMPLEX(1,$B99*$D$16*$D$15*$D$23,"j"))</f>
        <v>1.11870727159727E-004+1.49160969546302E-003j</v>
      </c>
      <c r="I99" s="145">
        <f t="shared" si="52"/>
        <v>1E-05</v>
      </c>
      <c r="J99" s="150" t="str">
        <f>IMDIV(IF($D$12,$D$52/$D$19,$D$53)/$D$21,COMPLEX(1,$B99*IF($D$12,$D$52,$D$53*$D$19)*$D$17,"j"))</f>
        <v>7.07355302630646E-020-6.66666666666667E-011j</v>
      </c>
      <c r="K99" s="140" t="str">
        <f>IMSUM(IF($D$9,$H99,0),IF($D$7,$I99,0),IF($D$8,$J99,0))</f>
        <v>1.21870727159727E-004+1.49160962879635E-003j</v>
      </c>
      <c r="L99" s="139" t="str">
        <f>IMPRODUCT($D$22,$K99)</f>
        <v>4.87482908638908E-005+5.9664385151854E-004j</v>
      </c>
      <c r="M99" s="377">
        <f>IMABS($L99)</f>
        <v>0.0005986320083465535</v>
      </c>
      <c r="N99" s="141">
        <f t="shared" si="38"/>
        <v>1670.4753271747725</v>
      </c>
      <c r="O99" s="498">
        <f t="shared" si="39"/>
        <v>0.017724293708861076</v>
      </c>
      <c r="P99" s="141">
        <f t="shared" si="40"/>
        <v>3.340950654349545</v>
      </c>
      <c r="Q99" s="141">
        <f t="shared" si="41"/>
        <v>314877.1809513163</v>
      </c>
      <c r="R99" s="141">
        <f t="shared" si="42"/>
        <v>29676475153.79158</v>
      </c>
      <c r="S99" s="119" t="str">
        <f>IMDIV(1/$D$37,COMPLEX(1-$B99*$B99*$D$40*$D$40,$B99*2*$D$26*$D$40,"j"))</f>
        <v>-5.62901716641359E-008-3.75271980782915E-012j</v>
      </c>
      <c r="T99" s="111">
        <f>IMABS($S99)</f>
        <v>5.629017178922794E-08</v>
      </c>
      <c r="U99" s="111">
        <f t="shared" si="43"/>
        <v>1.1258034357845588E-10</v>
      </c>
      <c r="V99" s="143">
        <f t="shared" si="44"/>
        <v>1.000011109012272</v>
      </c>
      <c r="W99" s="144">
        <f t="shared" si="45"/>
        <v>1.0610447409740754E-05</v>
      </c>
      <c r="X99" s="22" t="str">
        <f>IMPRODUCT(IMDIV($D$28,COMPLEX(1,$B99*$D$29,"j")),$AW99)</f>
        <v>5000000000</v>
      </c>
      <c r="Y99" s="124">
        <f>IMABS($X99)</f>
        <v>5000000000</v>
      </c>
      <c r="Z99" s="111" t="str">
        <f>IMPRODUCT($S99,$X99)</f>
        <v>-281.450858320679-1.87635990391458E-002j</v>
      </c>
      <c r="AA99" s="197">
        <f>IMABS($Z99)</f>
        <v>281.4508589461392</v>
      </c>
      <c r="AB99" s="111">
        <f t="shared" si="46"/>
        <v>0.5629017178922784</v>
      </c>
      <c r="AC99" s="111">
        <f t="shared" si="47"/>
        <v>5000055545.061352</v>
      </c>
      <c r="AD99" s="145">
        <f t="shared" si="48"/>
        <v>53052.23704870368</v>
      </c>
      <c r="AE99" s="119" t="str">
        <f>IMPRODUCT($L99,$Z99)</f>
        <v>-1.37090531193091E-002-0.167926838815032j</v>
      </c>
      <c r="AF99" s="141">
        <f>IMABS($AE99)</f>
        <v>0.16848549294178944</v>
      </c>
      <c r="AG99" s="111">
        <f t="shared" si="59"/>
        <v>0.8315145070582106</v>
      </c>
      <c r="AH99" s="106">
        <f>IF(AND(IMREAL(AE99)&lt;0,IMAGINARY(AE99)&gt;0),180/PI()*IMARGUMENT($AE99)-360,180/PI()*IMARGUMENT($AE99))</f>
        <v>-94.66710909831151</v>
      </c>
      <c r="AI99" s="111" t="str">
        <f>IMDIV($Z99,IMSUM(1,IMPRODUCT($Z99,$L99)))</f>
        <v>-277.320488345831-47.2358756743522j</v>
      </c>
      <c r="AJ99" s="141">
        <f>IMABS($AI99)</f>
        <v>281.3145591808093</v>
      </c>
      <c r="AK99" s="147">
        <f>180/PI()*IMARGUMENT($AI99)</f>
        <v>-170.33360387791868</v>
      </c>
      <c r="AL99" s="144">
        <f t="shared" si="49"/>
        <v>0.0029848401771562214</v>
      </c>
      <c r="AM99" s="146">
        <f t="shared" si="50"/>
        <v>0.5626291183616186</v>
      </c>
      <c r="AN99" s="119" t="str">
        <f>IMPRODUCT($AI99,COMPLEX(0,$B99,"j"),$D$24)</f>
        <v>8903.75280026554-52273.6805326318j</v>
      </c>
      <c r="AO99" s="142">
        <f>IMABS(AN99)</f>
        <v>53026.5451482169</v>
      </c>
      <c r="AP99" s="132">
        <f>180/PI()*IMARGUMENT($AN99)</f>
        <v>-80.33360387791868</v>
      </c>
      <c r="AQ99" s="133">
        <f t="shared" si="51"/>
        <v>4997634140.48657</v>
      </c>
      <c r="AR99" s="133">
        <f t="shared" si="53"/>
        <v>9.443955739474451E-10</v>
      </c>
      <c r="AS99" s="779">
        <f t="shared" si="54"/>
        <v>317.66349639488544</v>
      </c>
      <c r="AT99" s="143">
        <f t="shared" si="55"/>
        <v>75000000</v>
      </c>
      <c r="AU99" s="120">
        <f t="shared" si="56"/>
        <v>500</v>
      </c>
      <c r="AV99" s="130">
        <f t="shared" si="57"/>
        <v>3.3333333333333335</v>
      </c>
      <c r="AW99" s="582" t="str">
        <f>IF($D$10,IMDIV(COMPLEX(1,$B99/$D$49,"j"),COMPLEX(1,$B99/$D$50,"j")),COMPLEX(1,0,"j"))</f>
        <v>1</v>
      </c>
      <c r="AX99" s="149">
        <f>IMABS(AW99)</f>
        <v>1</v>
      </c>
      <c r="AY99" s="111"/>
    </row>
    <row r="100" spans="1:51" ht="15" customHeight="1">
      <c r="A100" s="358">
        <v>20000</v>
      </c>
      <c r="B100" s="144">
        <f t="shared" si="58"/>
        <v>125663.70614359173</v>
      </c>
      <c r="C100" s="199"/>
      <c r="D100" s="655"/>
      <c r="E100" s="122"/>
      <c r="F100" s="122"/>
      <c r="G100" s="179"/>
      <c r="H100" s="139" t="str">
        <f>IMDIV(COMPLEX(0,$D$15*$D$23*$B100,"j"),COMPLEX(1,$B100*$D$16*$D$15*$D$23,"j"))</f>
        <v>1.98019801980198E-004+1.98019801980198E-003j</v>
      </c>
      <c r="I100" s="145">
        <f t="shared" si="52"/>
        <v>1E-05</v>
      </c>
      <c r="J100" s="150" t="str">
        <f>IMDIV(IF($D$12,$D$52/$D$19,$D$53)/$D$21,COMPLEX(1,$B100*IF($D$12,$D$52,$D$53*$D$19)*$D$17,"j"))</f>
        <v>3.97887357729737E-020-4.99999999999999E-011j</v>
      </c>
      <c r="K100" s="140" t="str">
        <f>IMSUM(IF($D$9,$H100,0),IF($D$7,$I100,0),IF($D$8,$J100,0))</f>
        <v>2.08019801980198E-004+1.98019796980198E-003j</v>
      </c>
      <c r="L100" s="139" t="str">
        <f>IMPRODUCT($D$22,$K100)</f>
        <v>8.32079207920792E-005+7.92079187920792E-004j</v>
      </c>
      <c r="M100" s="377">
        <f>IMABS($L100)</f>
        <v>0.0007964376924906318</v>
      </c>
      <c r="N100" s="141">
        <f t="shared" si="38"/>
        <v>1255.5910015669715</v>
      </c>
      <c r="O100" s="498">
        <f t="shared" si="39"/>
        <v>0.009991675720054362</v>
      </c>
      <c r="P100" s="141">
        <f t="shared" si="40"/>
        <v>2.511182003133943</v>
      </c>
      <c r="Q100" s="141">
        <f t="shared" si="41"/>
        <v>315564.4373148999</v>
      </c>
      <c r="R100" s="141">
        <f t="shared" si="42"/>
        <v>39654996720.10745</v>
      </c>
      <c r="S100" s="119" t="str">
        <f>IMDIV(1/$D$37,COMPLEX(1-$B100*$B100*$D$40*$D$40,$B100*2*$D$26*$D$40,"j"))</f>
        <v>-3.16630677032455E-008-1.58316327993278E-012j</v>
      </c>
      <c r="T100" s="111">
        <f>IMABS($S100)</f>
        <v>3.166306774282483E-08</v>
      </c>
      <c r="U100" s="111">
        <f t="shared" si="43"/>
        <v>6.332613548564966E-11</v>
      </c>
      <c r="V100" s="143">
        <f t="shared" si="44"/>
        <v>1.000006248789038</v>
      </c>
      <c r="W100" s="144">
        <f t="shared" si="45"/>
        <v>7.957796880877954E-06</v>
      </c>
      <c r="X100" s="22" t="str">
        <f>IMPRODUCT(IMDIV($D$28,COMPLEX(1,$B100*$D$29,"j")),$AW100)</f>
        <v>5000000000</v>
      </c>
      <c r="Y100" s="124">
        <f>IMABS($X100)</f>
        <v>5000000000</v>
      </c>
      <c r="Z100" s="111" t="str">
        <f>IMPRODUCT($S100,$X100)</f>
        <v>-158.315338516228-7.9158163996639E-003j</v>
      </c>
      <c r="AA100" s="197">
        <f>IMABS($Z100)</f>
        <v>158.31533871412464</v>
      </c>
      <c r="AB100" s="111">
        <f t="shared" si="46"/>
        <v>0.3166306774282493</v>
      </c>
      <c r="AC100" s="111">
        <f t="shared" si="47"/>
        <v>5000031243.945207</v>
      </c>
      <c r="AD100" s="145">
        <f t="shared" si="48"/>
        <v>39788.9844043899</v>
      </c>
      <c r="AE100" s="119" t="str">
        <f>IMPRODUCT($L100,$Z100)</f>
        <v>-1.31668201940039E-002-0.125398943425963j</v>
      </c>
      <c r="AF100" s="141">
        <f>IMABS($AE100)</f>
        <v>0.12608830305135008</v>
      </c>
      <c r="AG100" s="111">
        <f t="shared" si="59"/>
        <v>0.8739116969486499</v>
      </c>
      <c r="AH100" s="106">
        <f>IF(AND(IMREAL(AE100)&lt;0,IMAGINARY(AE100)&gt;0),180/PI()*IMARGUMENT($AE100)-360,180/PI()*IMARGUMENT($AE100))</f>
        <v>-95.9940618269298</v>
      </c>
      <c r="AI100" s="111" t="str">
        <f>IMDIV($Z100,IMSUM(1,IMPRODUCT($Z100,$L100)))</f>
        <v>-157.87734642333-20.0698240128829j</v>
      </c>
      <c r="AJ100" s="141">
        <f>IMABS($AI100)</f>
        <v>159.14790086451106</v>
      </c>
      <c r="AK100" s="147">
        <f>180/PI()*IMARGUMENT($AI100)</f>
        <v>-172.75525393155715</v>
      </c>
      <c r="AL100" s="144">
        <f t="shared" si="49"/>
        <v>0.001266458755264293</v>
      </c>
      <c r="AM100" s="146">
        <f t="shared" si="50"/>
        <v>0.3182958017290221</v>
      </c>
      <c r="AN100" s="119" t="str">
        <f>IMPRODUCT($AI100,COMPLEX(0,$B100,"j"),$D$24)</f>
        <v>5044.09693421705-39678.9049353428j</v>
      </c>
      <c r="AO100" s="142">
        <f>IMABS(AN100)</f>
        <v>39998.23009521482</v>
      </c>
      <c r="AP100" s="132">
        <f>180/PI()*IMARGUMENT($AN100)</f>
        <v>-82.7552539315571</v>
      </c>
      <c r="AQ100" s="133">
        <f t="shared" si="51"/>
        <v>5026325832.948836</v>
      </c>
      <c r="AR100" s="133">
        <f t="shared" si="53"/>
        <v>5.512203424441686E-10</v>
      </c>
      <c r="AS100" s="779">
        <f t="shared" si="54"/>
        <v>544.2469678636471</v>
      </c>
      <c r="AT100" s="143">
        <f t="shared" si="55"/>
        <v>100000000.00000001</v>
      </c>
      <c r="AU100" s="120">
        <f t="shared" si="56"/>
        <v>500</v>
      </c>
      <c r="AV100" s="130">
        <f t="shared" si="57"/>
        <v>2.5000000000000004</v>
      </c>
      <c r="AW100" s="582" t="str">
        <f>IF($D$10,IMDIV(COMPLEX(1,$B100/$D$49,"j"),COMPLEX(1,$B100/$D$50,"j")),COMPLEX(1,0,"j"))</f>
        <v>1</v>
      </c>
      <c r="AX100" s="149">
        <f>IMABS(AW100)</f>
        <v>1</v>
      </c>
      <c r="AY100" s="111"/>
    </row>
    <row r="101" spans="1:51" ht="15" customHeight="1">
      <c r="A101" s="358">
        <v>20847</v>
      </c>
      <c r="B101" s="144">
        <f t="shared" si="58"/>
        <v>130985.56409877284</v>
      </c>
      <c r="C101" s="199"/>
      <c r="D101" s="656"/>
      <c r="E101" s="122"/>
      <c r="F101" s="122"/>
      <c r="G101" s="395"/>
      <c r="H101" s="139" t="str">
        <f>IMDIV(COMPLEX(0,$D$15*$D$23*$B101,"j"),COMPLEX(1,$B101*$D$16*$D$15*$D$23,"j"))</f>
        <v>2.14963143866132E-004+2.06229331669911E-003j</v>
      </c>
      <c r="I101" s="145">
        <f t="shared" si="52"/>
        <v>1E-05</v>
      </c>
      <c r="J101" s="150" t="str">
        <f>IMDIV(IF($D$12,$D$52/$D$19,$D$53)/$D$21,COMPLEX(1,$B101*IF($D$12,$D$52,$D$53*$D$19)*$D$17,"j"))</f>
        <v>3.66212360672162E-020-4.79685326425864E-011j</v>
      </c>
      <c r="K101" s="140" t="str">
        <f>IMSUM(IF($D$9,$H101,0),IF($D$7,$I101,0),IF($D$8,$J101,0))</f>
        <v>2.24963143866132E-004+2.06229326873058E-003j</v>
      </c>
      <c r="L101" s="139" t="str">
        <f>IMPRODUCT($D$22,$K101)</f>
        <v>8.99852575464528E-005+8.24917307492232E-004j</v>
      </c>
      <c r="M101" s="377">
        <f>IMABS($L101)</f>
        <v>0.0008298107680525332</v>
      </c>
      <c r="N101" s="141">
        <f t="shared" si="38"/>
        <v>1205.0940268549184</v>
      </c>
      <c r="O101" s="498">
        <f t="shared" si="39"/>
        <v>0.009200204886289516</v>
      </c>
      <c r="P101" s="141">
        <f t="shared" si="40"/>
        <v>2.410188053709837</v>
      </c>
      <c r="Q101" s="141">
        <f t="shared" si="41"/>
        <v>315699.8417993064</v>
      </c>
      <c r="R101" s="141">
        <f t="shared" si="42"/>
        <v>41352121863.975494</v>
      </c>
      <c r="S101" s="119" t="str">
        <f>IMDIV(1/$D$37,COMPLEX(1-$B101*$B101*$D$40*$D$40,$B101*2*$D$26*$D$40,"j"))</f>
        <v>-2.91424212844372E-008-1.39792722817345E-012j</v>
      </c>
      <c r="T101" s="111">
        <f>IMABS($S101)</f>
        <v>2.914242131796565E-08</v>
      </c>
      <c r="U101" s="111">
        <f t="shared" si="43"/>
        <v>5.828484263593129E-11</v>
      </c>
      <c r="V101" s="143">
        <f t="shared" si="44"/>
        <v>1.0000057513328917</v>
      </c>
      <c r="W101" s="144">
        <f t="shared" si="45"/>
        <v>7.634472991075667E-06</v>
      </c>
      <c r="X101" s="22" t="str">
        <f>IMPRODUCT(IMDIV($D$28,COMPLEX(1,$B101*$D$29,"j")),$AW101)</f>
        <v>5000000000</v>
      </c>
      <c r="Y101" s="124">
        <f>IMABS($X101)</f>
        <v>5000000000</v>
      </c>
      <c r="Z101" s="111" t="str">
        <f>IMPRODUCT($S101,$X101)</f>
        <v>-145.712106422186-6.98963614086725E-003j</v>
      </c>
      <c r="AA101" s="197">
        <f>IMABS($Z101)</f>
        <v>145.71210658982824</v>
      </c>
      <c r="AB101" s="111">
        <f t="shared" si="46"/>
        <v>0.2914242131796565</v>
      </c>
      <c r="AC101" s="111">
        <f t="shared" si="47"/>
        <v>5000028756.664459</v>
      </c>
      <c r="AD101" s="145">
        <f t="shared" si="48"/>
        <v>38172.36495537834</v>
      </c>
      <c r="AE101" s="119" t="str">
        <f>IMPRODUCT($L101,$Z101)</f>
        <v>-1.31061755522109E-002-0.12020106746302j</v>
      </c>
      <c r="AF101" s="141">
        <f>IMABS($AE101)</f>
        <v>0.12091347508385845</v>
      </c>
      <c r="AG101" s="111">
        <f t="shared" si="59"/>
        <v>0.8790865249161416</v>
      </c>
      <c r="AH101" s="106">
        <f>IF(AND(IMREAL(AE101)&lt;0,IMAGINARY(AE101)&gt;0),180/PI()*IMARGUMENT($AE101)-360,180/PI()*IMARGUMENT($AE101))</f>
        <v>-96.22268793606156</v>
      </c>
      <c r="AI101" s="111" t="str">
        <f>IMDIV($Z101,IMSUM(1,IMPRODUCT($Z101,$L101)))</f>
        <v>-145.488076720808-17.7271468599095j</v>
      </c>
      <c r="AJ101" s="141">
        <f>IMABS($AI101)</f>
        <v>146.56408906588445</v>
      </c>
      <c r="AK101" s="147">
        <f>180/PI()*IMARGUMENT($AI101)</f>
        <v>-173.0529803103811</v>
      </c>
      <c r="AL101" s="144">
        <f t="shared" si="49"/>
        <v>0.001118933144078108</v>
      </c>
      <c r="AM101" s="146">
        <f t="shared" si="50"/>
        <v>0.2931281781317689</v>
      </c>
      <c r="AN101" s="119" t="str">
        <f>IMPRODUCT($AI101,COMPLEX(0,$B101,"j"),$D$24)</f>
        <v>4644.00066261408-38113.6755978412j</v>
      </c>
      <c r="AO101" s="142">
        <f>IMABS(AN101)</f>
        <v>38395.559765835365</v>
      </c>
      <c r="AP101" s="132">
        <f>180/PI()*IMARGUMENT($AN101)</f>
        <v>-83.0529803103811</v>
      </c>
      <c r="AQ101" s="215">
        <f t="shared" si="51"/>
        <v>5029264054.816085</v>
      </c>
      <c r="AR101" s="133">
        <f t="shared" si="53"/>
        <v>5.096807561124711E-10</v>
      </c>
      <c r="AS101" s="779">
        <f t="shared" si="54"/>
        <v>588.6037414639981</v>
      </c>
      <c r="AT101" s="143">
        <f t="shared" si="55"/>
        <v>104235000</v>
      </c>
      <c r="AU101" s="120">
        <f t="shared" si="56"/>
        <v>500</v>
      </c>
      <c r="AV101" s="130">
        <f t="shared" si="57"/>
        <v>2.3984266321293233</v>
      </c>
      <c r="AW101" s="582" t="str">
        <f>IF($D$10,IMDIV(COMPLEX(1,$B101/$D$49,"j"),COMPLEX(1,$B101/$D$50,"j")),COMPLEX(1,0,"j"))</f>
        <v>1</v>
      </c>
      <c r="AX101" s="149">
        <f>IMABS(AW101)</f>
        <v>1</v>
      </c>
      <c r="AY101" s="111"/>
    </row>
    <row r="102" spans="1:51" ht="15" customHeight="1">
      <c r="A102" s="358">
        <v>30000</v>
      </c>
      <c r="B102" s="144">
        <f t="shared" si="58"/>
        <v>188495.5592153876</v>
      </c>
      <c r="C102" s="657"/>
      <c r="D102" s="656"/>
      <c r="E102" s="651"/>
      <c r="F102" s="651"/>
      <c r="G102" s="395"/>
      <c r="H102" s="139" t="str">
        <f>IMDIV(COMPLEX(0,$D$15*$D$23*$B102,"j"),COMPLEX(1,$B102*$D$16*$D$15*$D$23,"j"))</f>
        <v>4.40097799511002E-004+2.93398533007335E-003j</v>
      </c>
      <c r="I102" s="145">
        <f t="shared" si="52"/>
        <v>1E-05</v>
      </c>
      <c r="J102" s="150" t="str">
        <f>IMDIV(IF($D$12,$D$52/$D$19,$D$53)/$D$21,COMPLEX(1,$B102*IF($D$12,$D$52,$D$53*$D$19)*$D$17,"j"))</f>
        <v>1.76838825657661E-020-3.33333333333333E-011j</v>
      </c>
      <c r="K102" s="140" t="str">
        <f>IMSUM(IF($D$9,$H102,0),IF($D$7,$I102,0),IF($D$8,$J102,0))</f>
        <v>4.50097799511002E-004+2.93398529674002E-003j</v>
      </c>
      <c r="L102" s="139" t="str">
        <f>IMPRODUCT($D$22,$K102)</f>
        <v>1.80039119804401E-004+1.17359411869601E-003j</v>
      </c>
      <c r="M102" s="377">
        <f>IMABS($L102)</f>
        <v>0.0011873235616704522</v>
      </c>
      <c r="N102" s="141">
        <f t="shared" si="38"/>
        <v>842.2304014527382</v>
      </c>
      <c r="O102" s="498">
        <f t="shared" si="39"/>
        <v>0.0044681710537824906</v>
      </c>
      <c r="P102" s="141">
        <f t="shared" si="40"/>
        <v>1.6844608029054764</v>
      </c>
      <c r="Q102" s="141">
        <f t="shared" si="41"/>
        <v>317513.38102006854</v>
      </c>
      <c r="R102" s="141">
        <f t="shared" si="42"/>
        <v>59849862313.746254</v>
      </c>
      <c r="S102" s="119" t="str">
        <f>IMDIV(1/$D$37,COMPLEX(1-$B102*$B102*$D$40*$D$40,$B102*2*$D$26*$D$40,"j"))</f>
        <v>-1.40724256914267E-008-4.69082159386887E-013j</v>
      </c>
      <c r="T102" s="111">
        <f>IMABS($S102)</f>
        <v>1.4072425699244756E-08</v>
      </c>
      <c r="U102" s="111">
        <f t="shared" si="43"/>
        <v>2.8144851398489512E-11</v>
      </c>
      <c r="V102" s="143">
        <f t="shared" si="44"/>
        <v>1.000002777229937</v>
      </c>
      <c r="W102" s="144">
        <f t="shared" si="45"/>
        <v>5.305179503392264E-06</v>
      </c>
      <c r="X102" s="22" t="str">
        <f>IMPRODUCT(IMDIV($D$28,COMPLEX(1,$B102*$D$29,"j")),$AW102)</f>
        <v>5000000000</v>
      </c>
      <c r="Y102" s="124">
        <f>IMABS($X102)</f>
        <v>5000000000</v>
      </c>
      <c r="Z102" s="111" t="str">
        <f>IMPRODUCT($S102,$X102)</f>
        <v>-70.3621284571335-2.34541079693443E-003j</v>
      </c>
      <c r="AA102" s="197">
        <f>IMABS($Z102)</f>
        <v>70.36212849622378</v>
      </c>
      <c r="AB102" s="111">
        <f t="shared" si="46"/>
        <v>0.14072425699244756</v>
      </c>
      <c r="AC102" s="111">
        <f t="shared" si="47"/>
        <v>5000013886.149686</v>
      </c>
      <c r="AD102" s="145">
        <f t="shared" si="48"/>
        <v>26525.897516961322</v>
      </c>
      <c r="AE102" s="119" t="str">
        <f>IMPRODUCT($L102,$Z102)</f>
        <v>-1.26651831146693E-002-8.25770024019205E-002j</v>
      </c>
      <c r="AF102" s="141">
        <f>IMABS($AE102)</f>
        <v>0.08354261301285043</v>
      </c>
      <c r="AG102" s="111">
        <f t="shared" si="59"/>
        <v>0.9164573869871495</v>
      </c>
      <c r="AH102" s="106">
        <f>IF(AND(IMREAL(AE102)&lt;0,IMAGINARY(AE102)&gt;0),180/PI()*IMARGUMENT($AE102)-360,180/PI()*IMARGUMENT($AE102))</f>
        <v>-98.71974562306707</v>
      </c>
      <c r="AI102" s="111" t="str">
        <f>IMDIV($Z102,IMSUM(1,IMPRODUCT($Z102,$L102)))</f>
        <v>-70.7694760552985-5.92127058118012j</v>
      </c>
      <c r="AJ102" s="141">
        <f>IMABS($AI102)</f>
        <v>71.01675989818894</v>
      </c>
      <c r="AK102" s="147">
        <f>180/PI()*IMARGUMENT($AI102)</f>
        <v>-175.2172115262114</v>
      </c>
      <c r="AL102" s="144">
        <f t="shared" si="49"/>
        <v>0.00037675561267223515</v>
      </c>
      <c r="AM102" s="146">
        <f t="shared" si="50"/>
        <v>0.14203351979637788</v>
      </c>
      <c r="AN102" s="119" t="str">
        <f>IMPRODUCT($AI102,COMPLEX(0,$B102,"j"),$D$24)</f>
        <v>2232.26641893034-26679.463928847j</v>
      </c>
      <c r="AO102" s="142">
        <f>IMABS(AN102)</f>
        <v>26772.687741348123</v>
      </c>
      <c r="AP102" s="132">
        <f>180/PI()*IMARGUMENT($AN102)</f>
        <v>-85.21721152621141</v>
      </c>
      <c r="AQ102" s="133">
        <f t="shared" si="51"/>
        <v>5046532747.504357</v>
      </c>
      <c r="AR102" s="133">
        <f t="shared" si="53"/>
        <v>2.5460543046009613E-10</v>
      </c>
      <c r="AS102" s="779">
        <f t="shared" si="54"/>
        <v>1178.2937993815433</v>
      </c>
      <c r="AT102" s="143">
        <f t="shared" si="55"/>
        <v>150000000</v>
      </c>
      <c r="AU102" s="120">
        <f t="shared" si="56"/>
        <v>500</v>
      </c>
      <c r="AV102" s="130">
        <f t="shared" si="57"/>
        <v>1.6666666666666667</v>
      </c>
      <c r="AW102" s="582" t="str">
        <f>IF($D$10,IMDIV(COMPLEX(1,$B102/$D$49,"j"),COMPLEX(1,$B102/$D$50,"j")),COMPLEX(1,0,"j"))</f>
        <v>1</v>
      </c>
      <c r="AX102" s="149">
        <f>IMABS(AW102)</f>
        <v>1</v>
      </c>
      <c r="AY102" s="111"/>
    </row>
    <row r="103" spans="1:51" ht="15" customHeight="1">
      <c r="A103" s="358">
        <v>40000</v>
      </c>
      <c r="B103" s="144">
        <f t="shared" si="58"/>
        <v>251327.41228718346</v>
      </c>
      <c r="C103" s="199"/>
      <c r="D103" s="653"/>
      <c r="E103" s="122"/>
      <c r="F103" s="122"/>
      <c r="G103" s="179"/>
      <c r="H103" s="139" t="str">
        <f>IMDIV(COMPLEX(0,$D$15*$D$23*$B103,"j"),COMPLEX(1,$B103*$D$16*$D$15*$D$23,"j"))</f>
        <v>7.69230769230769E-004+3.84615384615385E-003j</v>
      </c>
      <c r="I103" s="145">
        <f t="shared" si="52"/>
        <v>1E-05</v>
      </c>
      <c r="J103" s="150" t="str">
        <f>IMDIV(IF($D$12,$D$52/$D$19,$D$53)/$D$21,COMPLEX(1,$B103*IF($D$12,$D$52,$D$53*$D$19)*$D$17,"j"))</f>
        <v>9.94718394324349E-021-2.5E-011j</v>
      </c>
      <c r="K103" s="140" t="str">
        <f>IMSUM(IF($D$9,$H103,0),IF($D$7,$I103,0),IF($D$8,$J103,0))</f>
        <v>7.79230769230769E-004+3.84615382115385E-003j</v>
      </c>
      <c r="L103" s="139" t="str">
        <f>IMPRODUCT($D$22,$K103)</f>
        <v>3.11692307692308E-004+1.53846152846154E-003j</v>
      </c>
      <c r="M103" s="377">
        <f>IMABS($L103)</f>
        <v>0.0015697184362906535</v>
      </c>
      <c r="N103" s="141">
        <f aca="true" t="shared" si="60" ref="N103:N123">1/$M103</f>
        <v>637.056924911365</v>
      </c>
      <c r="O103" s="498">
        <f aca="true" t="shared" si="61" ref="O103:O123">$N103/$B103</f>
        <v>0.0025347689657641533</v>
      </c>
      <c r="P103" s="141">
        <f aca="true" t="shared" si="62" ref="P103:P123">$N103*$D$24</f>
        <v>1.27411384982273</v>
      </c>
      <c r="Q103" s="141">
        <f aca="true" t="shared" si="63" ref="Q103:Q123">+$N103*$D$24*$B103</f>
        <v>320219.7368352078</v>
      </c>
      <c r="R103" s="141">
        <f aca="true" t="shared" si="64" ref="R103:R123">Q103*B103</f>
        <v>80479997822.07565</v>
      </c>
      <c r="S103" s="119" t="str">
        <f>IMDIV(1/$D$37,COMPLEX(1-$B103*$B103*$D$40*$D$40,$B103*2*$D$26*$D$40,"j"))</f>
        <v>-7.91572983543817E-009-1.97893555094634E-013j</v>
      </c>
      <c r="T103" s="111">
        <f>IMABS($S103)</f>
        <v>7.915729837911843E-09</v>
      </c>
      <c r="U103" s="111">
        <f aca="true" t="shared" si="65" ref="U103:U123">$T103*$D$24</f>
        <v>1.5831459675823686E-11</v>
      </c>
      <c r="V103" s="143">
        <f aca="true" t="shared" si="66" ref="V103:V123">$T103*$D$24*$B103*$B103</f>
        <v>1.0000015621899403</v>
      </c>
      <c r="W103" s="144">
        <f aca="true" t="shared" si="67" ref="W103:W123">$T103*$D$24*$B103</f>
        <v>3.9788797930536595E-06</v>
      </c>
      <c r="X103" s="22" t="str">
        <f>IMPRODUCT(IMDIV($D$28,COMPLEX(1,$B103*$D$29,"j")),$AW103)</f>
        <v>5000000000</v>
      </c>
      <c r="Y103" s="124">
        <f>IMABS($X103)</f>
        <v>5000000000</v>
      </c>
      <c r="Z103" s="111" t="str">
        <f>IMPRODUCT($S103,$X103)</f>
        <v>-39.5786491771909-9.8946777547317E-004j</v>
      </c>
      <c r="AA103" s="197">
        <f>IMABS($Z103)</f>
        <v>39.57864918955926</v>
      </c>
      <c r="AB103" s="111">
        <f aca="true" t="shared" si="68" ref="AB103:AB123">$AA103*$D$24</f>
        <v>0.07915729837911852</v>
      </c>
      <c r="AC103" s="111">
        <f aca="true" t="shared" si="69" ref="AC103:AC123">AA103*$D$24*B103*B103</f>
        <v>5000007810.949707</v>
      </c>
      <c r="AD103" s="145">
        <f aca="true" t="shared" si="70" ref="AD103:AD123">$AA103*$D$24*$B103</f>
        <v>19894.39896526832</v>
      </c>
      <c r="AE103" s="119" t="str">
        <f>IMPRODUCT($L103,$Z103)</f>
        <v>-1.23348382392767E-002-6.08905375170785E-002j</v>
      </c>
      <c r="AF103" s="141">
        <f>IMABS($AE103)</f>
        <v>0.06212733531633131</v>
      </c>
      <c r="AG103" s="111">
        <f t="shared" si="59"/>
        <v>0.9378726646836687</v>
      </c>
      <c r="AH103" s="106">
        <f>IF(AND(IMREAL(AE103)&lt;0,IMAGINARY(AE103)&gt;0),180/PI()*IMARGUMENT($AE103)-360,180/PI()*IMARGUMENT($AE103))</f>
        <v>-101.45166771665546</v>
      </c>
      <c r="AI103" s="111" t="str">
        <f>IMDIV($Z103,IMSUM(1,IMPRODUCT($Z103,$L103)))</f>
        <v>-39.9211465907895-2.46218013567626j</v>
      </c>
      <c r="AJ103" s="141">
        <f>IMABS($AI103)</f>
        <v>39.99700333954811</v>
      </c>
      <c r="AK103" s="147">
        <f>180/PI()*IMARGUMENT($AI103)</f>
        <v>-176.47069104403815</v>
      </c>
      <c r="AL103" s="144">
        <f aca="true" t="shared" si="71" ref="AL103:AL123">$AJ103/$B103</f>
        <v>0.00015914301975880317</v>
      </c>
      <c r="AM103" s="146">
        <f aca="true" t="shared" si="72" ref="AM103:AM123">$AJ103*$D$24</f>
        <v>0.07999400667909622</v>
      </c>
      <c r="AN103" s="119" t="str">
        <f>IMPRODUCT($AI103,COMPLEX(0,$B103,"j"),$D$24)</f>
        <v>1237.62672416884-20066.5569364008j</v>
      </c>
      <c r="AO103" s="142">
        <f>IMABS(AN103)</f>
        <v>20104.68669714084</v>
      </c>
      <c r="AP103" s="132">
        <f>180/PI()*IMARGUMENT($AN103)</f>
        <v>-86.47069104403813</v>
      </c>
      <c r="AQ103" s="133">
        <f aca="true" t="shared" si="73" ref="AQ103:AQ123">AJ103*$D$24*B103*B103</f>
        <v>5052858882.436989</v>
      </c>
      <c r="AR103" s="133">
        <f t="shared" si="53"/>
        <v>1.4610297897681618E-10</v>
      </c>
      <c r="AS103" s="779">
        <f t="shared" si="54"/>
        <v>2053.3462226502884</v>
      </c>
      <c r="AT103" s="143">
        <f t="shared" si="55"/>
        <v>200000000.00000003</v>
      </c>
      <c r="AU103" s="120">
        <f t="shared" si="56"/>
        <v>500</v>
      </c>
      <c r="AV103" s="130">
        <f t="shared" si="57"/>
        <v>1.2500000000000002</v>
      </c>
      <c r="AW103" s="582" t="str">
        <f>IF($D$10,IMDIV(COMPLEX(1,$B103/$D$49,"j"),COMPLEX(1,$B103/$D$50,"j")),COMPLEX(1,0,"j"))</f>
        <v>1</v>
      </c>
      <c r="AX103" s="149">
        <f>IMABS(AW103)</f>
        <v>1</v>
      </c>
      <c r="AY103" s="111"/>
    </row>
    <row r="104" spans="1:51" ht="15" customHeight="1">
      <c r="A104" s="358">
        <v>50000</v>
      </c>
      <c r="B104" s="144">
        <f t="shared" si="58"/>
        <v>314159.2653589793</v>
      </c>
      <c r="C104" s="199"/>
      <c r="D104" s="653"/>
      <c r="E104" s="122"/>
      <c r="F104" s="122"/>
      <c r="G104" s="179"/>
      <c r="H104" s="139" t="str">
        <f>IMDIV(COMPLEX(0,$D$15*$D$23*$B104,"j"),COMPLEX(1,$B104*$D$16*$D$15*$D$23,"j"))</f>
        <v>1.17647058823529E-003+4.70588235294118E-003j</v>
      </c>
      <c r="I104" s="145">
        <f t="shared" si="52"/>
        <v>1E-05</v>
      </c>
      <c r="J104" s="150" t="str">
        <f>IMDIV(IF($D$12,$D$52/$D$19,$D$53)/$D$21,COMPLEX(1,$B104*IF($D$12,$D$52,$D$53*$D$19)*$D$17,"j"))</f>
        <v>6.36619772367583E-021-2E-011j</v>
      </c>
      <c r="K104" s="140" t="str">
        <f>IMSUM(IF($D$9,$H104,0),IF($D$7,$I104,0),IF($D$8,$J104,0))</f>
        <v>1.18647058823529E-003+4.70588233294118E-003j</v>
      </c>
      <c r="L104" s="139" t="str">
        <f>IMPRODUCT($D$22,$K104)</f>
        <v>4.74588235294116E-004+1.88235293317647E-003j</v>
      </c>
      <c r="M104" s="377">
        <f>IMABS($L104)</f>
        <v>0.001941259013660373</v>
      </c>
      <c r="N104" s="141">
        <f t="shared" si="60"/>
        <v>515.1296107130153</v>
      </c>
      <c r="O104" s="498">
        <f t="shared" si="61"/>
        <v>0.0016397084775596031</v>
      </c>
      <c r="P104" s="141">
        <f t="shared" si="62"/>
        <v>1.0302592214260307</v>
      </c>
      <c r="Q104" s="141">
        <f t="shared" si="63"/>
        <v>323665.4801325158</v>
      </c>
      <c r="R104" s="141">
        <f t="shared" si="64"/>
        <v>101682509460.49246</v>
      </c>
      <c r="S104" s="119" t="str">
        <f>IMDIV(1/$D$37,COMPLEX(1-$B104*$B104*$D$40*$D$40,$B104*2*$D$26*$D$40,"j"))</f>
        <v>-5.06606424615471E-009-1.0132138624448E-013j</v>
      </c>
      <c r="T104" s="111">
        <f>IMABS($S104)</f>
        <v>5.066064247167924E-09</v>
      </c>
      <c r="U104" s="111">
        <f t="shared" si="65"/>
        <v>1.0132128494335849E-11</v>
      </c>
      <c r="V104" s="143">
        <f t="shared" si="66"/>
        <v>1.0000009998009998</v>
      </c>
      <c r="W104" s="144">
        <f t="shared" si="67"/>
        <v>3.1831020443033313E-06</v>
      </c>
      <c r="X104" s="22" t="str">
        <f>IMPRODUCT(IMDIV($D$28,COMPLEX(1,$B104*$D$29,"j")),$AW104)</f>
        <v>5000000000</v>
      </c>
      <c r="Y104" s="124">
        <f>IMABS($X104)</f>
        <v>5000000000</v>
      </c>
      <c r="Z104" s="111" t="str">
        <f>IMPRODUCT($S104,$X104)</f>
        <v>-25.3303212307735-5.066069312224E-004j</v>
      </c>
      <c r="AA104" s="197">
        <f>IMABS($Z104)</f>
        <v>25.33032123583957</v>
      </c>
      <c r="AB104" s="111">
        <f t="shared" si="68"/>
        <v>0.05066064247167914</v>
      </c>
      <c r="AC104" s="111">
        <f t="shared" si="69"/>
        <v>5000004999.004988</v>
      </c>
      <c r="AD104" s="145">
        <f t="shared" si="70"/>
        <v>15915.510221516623</v>
      </c>
      <c r="AE104" s="119" t="str">
        <f>IMPRODUCT($L104,$Z104)</f>
        <v>-1.20205188393029E-002-4.76808448967382E-002j</v>
      </c>
      <c r="AF104" s="141">
        <f>IMABS($AE104)</f>
        <v>0.04917271441798633</v>
      </c>
      <c r="AG104" s="111">
        <f t="shared" si="59"/>
        <v>0.9508272855820137</v>
      </c>
      <c r="AH104" s="106">
        <f>IF(AND(IMREAL(AE104)&lt;0,IMAGINARY(AE104)&gt;0),180/PI()*IMARGUMENT($AE104)-360,180/PI()*IMARGUMENT($AE104))</f>
        <v>-104.14963174823602</v>
      </c>
      <c r="AI104" s="111" t="str">
        <f>IMDIV($Z104,IMSUM(1,IMPRODUCT($Z104,$L104)))</f>
        <v>-25.5789082991795-1.2349756138041j</v>
      </c>
      <c r="AJ104" s="141">
        <f>IMABS($AI104)</f>
        <v>25.608703882557677</v>
      </c>
      <c r="AK104" s="147">
        <f>180/PI()*IMARGUMENT($AI104)</f>
        <v>-177.2358481671174</v>
      </c>
      <c r="AL104" s="144">
        <f t="shared" si="71"/>
        <v>8.151503618171333E-05</v>
      </c>
      <c r="AM104" s="146">
        <f t="shared" si="72"/>
        <v>0.05121740776511535</v>
      </c>
      <c r="AN104" s="119" t="str">
        <f>IMPRODUCT($AI104,COMPLEX(0,$B104,"j"),$D$24)</f>
        <v>775.9580631379-16071.7020799098j</v>
      </c>
      <c r="AO104" s="142">
        <f>IMABS(AN104)</f>
        <v>16090.423197079863</v>
      </c>
      <c r="AP104" s="132">
        <f>180/PI()*IMARGUMENT($AN104)</f>
        <v>-87.2358481671174</v>
      </c>
      <c r="AQ104" s="133">
        <f t="shared" si="73"/>
        <v>5054955530.909707</v>
      </c>
      <c r="AR104" s="133">
        <f t="shared" si="53"/>
        <v>9.46604139973023E-11</v>
      </c>
      <c r="AS104" s="779">
        <f t="shared" si="54"/>
        <v>3169.22340957171</v>
      </c>
      <c r="AT104" s="143">
        <f t="shared" si="55"/>
        <v>250000000</v>
      </c>
      <c r="AU104" s="120">
        <f t="shared" si="56"/>
        <v>500</v>
      </c>
      <c r="AV104" s="130">
        <f t="shared" si="57"/>
        <v>1</v>
      </c>
      <c r="AW104" s="582" t="str">
        <f>IF($D$10,IMDIV(COMPLEX(1,$B104/$D$49,"j"),COMPLEX(1,$B104/$D$50,"j")),COMPLEX(1,0,"j"))</f>
        <v>1</v>
      </c>
      <c r="AX104" s="149">
        <f>IMABS(AW104)</f>
        <v>1</v>
      </c>
      <c r="AY104" s="111"/>
    </row>
    <row r="105" spans="1:51" ht="15" customHeight="1">
      <c r="A105" s="358">
        <v>60000</v>
      </c>
      <c r="B105" s="144">
        <f t="shared" si="58"/>
        <v>376991.1184307752</v>
      </c>
      <c r="C105" s="199"/>
      <c r="D105" s="122"/>
      <c r="E105" s="122"/>
      <c r="F105" s="122"/>
      <c r="G105" s="179"/>
      <c r="H105" s="139" t="str">
        <f>IMDIV(COMPLEX(0,$D$15*$D$23*$B105,"j"),COMPLEX(1,$B105*$D$16*$D$15*$D$23,"j"))</f>
        <v>1.65137614678899E-003+5.5045871559633E-003j</v>
      </c>
      <c r="I105" s="145">
        <f t="shared" si="52"/>
        <v>1E-05</v>
      </c>
      <c r="J105" s="150" t="str">
        <f>IMDIV(IF($D$12,$D$52/$D$19,$D$53)/$D$21,COMPLEX(1,$B105*IF($D$12,$D$52,$D$53*$D$19)*$D$17,"j"))</f>
        <v>4.42097064144154E-021-1.66666666666667E-011j</v>
      </c>
      <c r="K105" s="140" t="str">
        <f>IMSUM(IF($D$9,$H105,0),IF($D$7,$I105,0),IF($D$8,$J105,0))</f>
        <v>1.66137614678899E-003+5.50458713929663E-003j</v>
      </c>
      <c r="L105" s="139" t="str">
        <f>IMPRODUCT($D$22,$K105)</f>
        <v>6.64550458715596E-004+2.20183485571865E-003j</v>
      </c>
      <c r="M105" s="377">
        <f>IMABS($L105)</f>
        <v>0.002299935660847207</v>
      </c>
      <c r="N105" s="141">
        <f t="shared" si="60"/>
        <v>434.7947714466233</v>
      </c>
      <c r="O105" s="498">
        <f t="shared" si="61"/>
        <v>0.001153328951770683</v>
      </c>
      <c r="P105" s="141">
        <f t="shared" si="62"/>
        <v>0.8695895428932466</v>
      </c>
      <c r="Q105" s="141">
        <f t="shared" si="63"/>
        <v>327827.5343510316</v>
      </c>
      <c r="R105" s="141">
        <f t="shared" si="64"/>
        <v>123588068827.39877</v>
      </c>
      <c r="S105" s="119" t="str">
        <f>IMDIV(1/$D$37,COMPLEX(1-$B105*$B105*$D$40*$D$40,$B105*2*$D$26*$D$40,"j"))</f>
        <v>-3.51809909639496E-009-5.86350256586838E-014j</v>
      </c>
      <c r="T105" s="111">
        <f>IMABS($S105)</f>
        <v>3.5180990968835857E-09</v>
      </c>
      <c r="U105" s="111">
        <f t="shared" si="65"/>
        <v>7.0361981937671715E-12</v>
      </c>
      <c r="V105" s="143">
        <f t="shared" si="66"/>
        <v>1.0000006943060373</v>
      </c>
      <c r="W105" s="144">
        <f t="shared" si="67"/>
        <v>2.6525842265688864E-06</v>
      </c>
      <c r="X105" s="22" t="str">
        <f>IMPRODUCT(IMDIV($D$28,COMPLEX(1,$B105*$D$29,"j")),$AW105)</f>
        <v>5000000000</v>
      </c>
      <c r="Y105" s="124">
        <f>IMABS($X105)</f>
        <v>5000000000</v>
      </c>
      <c r="Z105" s="111" t="str">
        <f>IMPRODUCT($S105,$X105)</f>
        <v>-17.5904954819748-2.93175128293419E-004j</v>
      </c>
      <c r="AA105" s="197">
        <f>IMABS($Z105)</f>
        <v>17.59049548441793</v>
      </c>
      <c r="AB105" s="111">
        <f t="shared" si="68"/>
        <v>0.03518099096883586</v>
      </c>
      <c r="AC105" s="111">
        <f t="shared" si="69"/>
        <v>5000003471.530187</v>
      </c>
      <c r="AD105" s="145">
        <f t="shared" si="70"/>
        <v>13262.921132844433</v>
      </c>
      <c r="AE105" s="119" t="str">
        <f>IMPRODUCT($L105,$Z105)</f>
        <v>-1.16891263183647E-002-3.87315609112395E-002j</v>
      </c>
      <c r="AF105" s="141">
        <f>IMABS($AE105)</f>
        <v>0.04045700785658452</v>
      </c>
      <c r="AG105" s="111">
        <f t="shared" si="59"/>
        <v>0.9595429921434154</v>
      </c>
      <c r="AH105" s="106">
        <f>IF(AND(IMREAL(AE105)&lt;0,IMAGINARY(AE105)&gt;0),180/PI()*IMARGUMENT($AE105)-360,180/PI()*IMARGUMENT($AE105))</f>
        <v>-106.79373450660634</v>
      </c>
      <c r="AI105" s="111" t="str">
        <f>IMDIV($Z105,IMSUM(1,IMPRODUCT($Z105,$L105)))</f>
        <v>-17.7712397119407-0.696745373178383j</v>
      </c>
      <c r="AJ105" s="141">
        <f>IMABS($AI105)</f>
        <v>17.784892887344125</v>
      </c>
      <c r="AK105" s="147">
        <f>180/PI()*IMARGUMENT($AI105)</f>
        <v>-177.75479177027964</v>
      </c>
      <c r="AL105" s="144">
        <f t="shared" si="71"/>
        <v>4.717589358967847E-05</v>
      </c>
      <c r="AM105" s="146">
        <f t="shared" si="72"/>
        <v>0.03556978577468825</v>
      </c>
      <c r="AN105" s="119" t="str">
        <f>IMPRODUCT($AI105,COMPLEX(0,$B105,"j"),$D$24)</f>
        <v>525.333634991973-13399.1990698119j</v>
      </c>
      <c r="AO105" s="142">
        <f>IMABS(AN105)</f>
        <v>13409.493321542837</v>
      </c>
      <c r="AP105" s="132">
        <f>180/PI()*IMARGUMENT($AN105)</f>
        <v>-87.75479177027964</v>
      </c>
      <c r="AQ105" s="133">
        <f t="shared" si="73"/>
        <v>5055259884.878431</v>
      </c>
      <c r="AR105" s="133">
        <f t="shared" si="53"/>
        <v>6.628703942067388E-11</v>
      </c>
      <c r="AS105" s="779">
        <f t="shared" si="54"/>
        <v>4525.771593088146</v>
      </c>
      <c r="AT105" s="143">
        <f t="shared" si="55"/>
        <v>300000000</v>
      </c>
      <c r="AU105" s="120">
        <f t="shared" si="56"/>
        <v>500</v>
      </c>
      <c r="AV105" s="130">
        <f t="shared" si="57"/>
        <v>0.8333333333333334</v>
      </c>
      <c r="AW105" s="582" t="str">
        <f>IF($D$10,IMDIV(COMPLEX(1,$B105/$D$49,"j"),COMPLEX(1,$B105/$D$50,"j")),COMPLEX(1,0,"j"))</f>
        <v>1</v>
      </c>
      <c r="AX105" s="149">
        <f>IMABS(AW105)</f>
        <v>1</v>
      </c>
      <c r="AY105" s="111"/>
    </row>
    <row r="106" spans="1:51" ht="15" customHeight="1">
      <c r="A106" s="358">
        <v>70000</v>
      </c>
      <c r="B106" s="144">
        <f t="shared" si="58"/>
        <v>439822.971502571</v>
      </c>
      <c r="C106" s="199"/>
      <c r="D106" s="658"/>
      <c r="E106" s="122"/>
      <c r="F106" s="122"/>
      <c r="G106" s="179"/>
      <c r="H106" s="139" t="str">
        <f>IMDIV(COMPLEX(0,$D$15*$D$23*$B106,"j"),COMPLEX(1,$B106*$D$16*$D$15*$D$23,"j"))</f>
        <v>2.1826280623608E-003+6.23608017817372E-003j</v>
      </c>
      <c r="I106" s="145">
        <f t="shared" si="52"/>
        <v>1E-05</v>
      </c>
      <c r="J106" s="150" t="str">
        <f>IMDIV(IF($D$12,$D$52/$D$19,$D$53)/$D$21,COMPLEX(1,$B106*IF($D$12,$D$52,$D$53*$D$19)*$D$17,"j"))</f>
        <v>3.2480600630999E-021-1.42857142857143E-011j</v>
      </c>
      <c r="K106" s="140" t="str">
        <f>IMSUM(IF($D$9,$H106,0),IF($D$7,$I106,0),IF($D$8,$J106,0))</f>
        <v>2.1926280623608E-003+6.23608016388801E-003j</v>
      </c>
      <c r="L106" s="139" t="str">
        <f>IMPRODUCT($D$22,$K106)</f>
        <v>8.7705122494432E-004+2.4944320655552E-003j</v>
      </c>
      <c r="M106" s="377">
        <f>IMABS($L106)</f>
        <v>0.0026441274895220757</v>
      </c>
      <c r="N106" s="141">
        <f t="shared" si="60"/>
        <v>378.196589976359</v>
      </c>
      <c r="O106" s="498">
        <f t="shared" si="61"/>
        <v>0.0008598836679319471</v>
      </c>
      <c r="P106" s="141">
        <f t="shared" si="62"/>
        <v>0.756393179952718</v>
      </c>
      <c r="Q106" s="141">
        <f t="shared" si="63"/>
        <v>332679.0960310834</v>
      </c>
      <c r="R106" s="141">
        <f t="shared" si="64"/>
        <v>146319908573.18027</v>
      </c>
      <c r="S106" s="119" t="str">
        <f>IMDIV(1/$D$37,COMPLEX(1-$B106*$B106*$D$40*$D$40,$B106*2*$D$26*$D$40,"j"))</f>
        <v>-2.58472539071857E-009-3.69246672779526E-014j</v>
      </c>
      <c r="T106" s="111">
        <f>IMABS($S106)</f>
        <v>2.5847253909823175E-09</v>
      </c>
      <c r="U106" s="111">
        <f t="shared" si="65"/>
        <v>5.169450781964635E-12</v>
      </c>
      <c r="V106" s="143">
        <f t="shared" si="66"/>
        <v>1.0000005101023024</v>
      </c>
      <c r="W106" s="144">
        <f t="shared" si="67"/>
        <v>2.2736432039599753E-06</v>
      </c>
      <c r="X106" s="22" t="str">
        <f>IMPRODUCT(IMDIV($D$28,COMPLEX(1,$B106*$D$29,"j")),$AW106)</f>
        <v>5000000000</v>
      </c>
      <c r="Y106" s="124">
        <f>IMABS($X106)</f>
        <v>5000000000</v>
      </c>
      <c r="Z106" s="111" t="str">
        <f>IMPRODUCT($S106,$X106)</f>
        <v>-12.9236269535929-1.84623336389763E-004j</v>
      </c>
      <c r="AA106" s="197">
        <f>IMABS($Z106)</f>
        <v>12.923626954911636</v>
      </c>
      <c r="AB106" s="111">
        <f t="shared" si="68"/>
        <v>0.025847253909823273</v>
      </c>
      <c r="AC106" s="111">
        <f t="shared" si="69"/>
        <v>5000002550.511531</v>
      </c>
      <c r="AD106" s="145">
        <f t="shared" si="70"/>
        <v>11368.216019799918</v>
      </c>
      <c r="AE106" s="119" t="str">
        <f>IMPRODUCT($L106,$Z106)</f>
        <v>-1.13342223200017E-002-3.22372714004389E-002j</v>
      </c>
      <c r="AF106" s="141">
        <f>IMABS($AE106)</f>
        <v>0.0341717172958103</v>
      </c>
      <c r="AG106" s="111">
        <f t="shared" si="59"/>
        <v>0.9658282827041897</v>
      </c>
      <c r="AH106" s="106">
        <f>IF(AND(IMREAL(AE106)&lt;0,IMAGINARY(AE106)&gt;0),180/PI()*IMARGUMENT($AE106)-360,180/PI()*IMARGUMENT($AE106))</f>
        <v>-109.37103790159549</v>
      </c>
      <c r="AI106" s="111" t="str">
        <f>IMDIV($Z106,IMSUM(1,IMPRODUCT($Z106,$L106)))</f>
        <v>-13.0578961496356-0.425963530789117j</v>
      </c>
      <c r="AJ106" s="141">
        <f>IMABS($AI106)</f>
        <v>13.064842011453127</v>
      </c>
      <c r="AK106" s="147">
        <f>180/PI()*IMARGUMENT($AI106)</f>
        <v>-178.13160859232008</v>
      </c>
      <c r="AL106" s="144">
        <f t="shared" si="71"/>
        <v>2.9704774097677515E-05</v>
      </c>
      <c r="AM106" s="146">
        <f t="shared" si="72"/>
        <v>0.026129684022906254</v>
      </c>
      <c r="AN106" s="119" t="str">
        <f>IMPRODUCT($AI106,COMPLEX(0,$B106,"j"),$D$24)</f>
        <v>374.697091726793-11486.3253722094j</v>
      </c>
      <c r="AO106" s="142">
        <f>IMABS(AN106)</f>
        <v>11492.43527137786</v>
      </c>
      <c r="AP106" s="132">
        <f>180/PI()*IMARGUMENT($AN106)</f>
        <v>-88.13160859232008</v>
      </c>
      <c r="AQ106" s="133">
        <f t="shared" si="73"/>
        <v>5054637030.8583765</v>
      </c>
      <c r="AR106" s="133">
        <f t="shared" si="53"/>
        <v>4.8996656664827005E-11</v>
      </c>
      <c r="AS106" s="779">
        <f t="shared" si="54"/>
        <v>6122.866750934039</v>
      </c>
      <c r="AT106" s="143">
        <f t="shared" si="55"/>
        <v>350000000</v>
      </c>
      <c r="AU106" s="120">
        <f t="shared" si="56"/>
        <v>500</v>
      </c>
      <c r="AV106" s="130">
        <f t="shared" si="57"/>
        <v>0.7142857142857144</v>
      </c>
      <c r="AW106" s="582" t="str">
        <f>IF($D$10,IMDIV(COMPLEX(1,$B106/$D$49,"j"),COMPLEX(1,$B106/$D$50,"j")),COMPLEX(1,0,"j"))</f>
        <v>1</v>
      </c>
      <c r="AX106" s="149">
        <f>IMABS(AW106)</f>
        <v>1</v>
      </c>
      <c r="AY106" s="111"/>
    </row>
    <row r="107" spans="1:51" ht="15" customHeight="1">
      <c r="A107" s="358">
        <v>80000</v>
      </c>
      <c r="B107" s="144">
        <f t="shared" si="58"/>
        <v>502654.8245743669</v>
      </c>
      <c r="C107" s="199"/>
      <c r="D107" s="653"/>
      <c r="E107" s="122"/>
      <c r="F107" s="122"/>
      <c r="G107" s="179"/>
      <c r="H107" s="139" t="str">
        <f>IMDIV(COMPLEX(0,$D$15*$D$23*$B107,"j"),COMPLEX(1,$B107*$D$16*$D$15*$D$23,"j"))</f>
        <v>2.75862068965517E-003+6.89655172413793E-003j</v>
      </c>
      <c r="I107" s="145">
        <f t="shared" si="52"/>
        <v>1E-05</v>
      </c>
      <c r="J107" s="150" t="str">
        <f>IMDIV(IF($D$12,$D$52/$D$19,$D$53)/$D$21,COMPLEX(1,$B107*IF($D$12,$D$52,$D$53*$D$19)*$D$17,"j"))</f>
        <v>2.48679598581086E-021-1.25E-011j</v>
      </c>
      <c r="K107" s="140" t="str">
        <f>IMSUM(IF($D$9,$H107,0),IF($D$7,$I107,0),IF($D$8,$J107,0))</f>
        <v>2.76862068965517E-003+6.89655171163793E-003j</v>
      </c>
      <c r="L107" s="139" t="str">
        <f>IMPRODUCT($D$22,$K107)</f>
        <v>1.10744827586207E-003+2.75862068465517E-003j</v>
      </c>
      <c r="M107" s="377">
        <f>IMABS($L107)</f>
        <v>0.002972613288928991</v>
      </c>
      <c r="N107" s="141">
        <f t="shared" si="60"/>
        <v>336.4043361187732</v>
      </c>
      <c r="O107" s="498">
        <f t="shared" si="61"/>
        <v>0.0006692551621356272</v>
      </c>
      <c r="P107" s="141">
        <f t="shared" si="62"/>
        <v>0.6728086722375464</v>
      </c>
      <c r="Q107" s="141">
        <f t="shared" si="63"/>
        <v>338190.5251156766</v>
      </c>
      <c r="R107" s="141">
        <f t="shared" si="64"/>
        <v>169993099074.73343</v>
      </c>
      <c r="S107" s="119" t="str">
        <f>IMDIV(1/$D$37,COMPLEX(1-$B107*$B107*$D$40*$D$40,$B107*2*$D$26*$D$40,"j"))</f>
        <v>-1.97893014072479E-009-2.47366364218085E-014j</v>
      </c>
      <c r="T107" s="111">
        <f>IMABS($S107)</f>
        <v>1.978930140879394E-09</v>
      </c>
      <c r="U107" s="111">
        <f t="shared" si="65"/>
        <v>3.957860281758788E-12</v>
      </c>
      <c r="V107" s="143">
        <f t="shared" si="66"/>
        <v>1.0000003905470285</v>
      </c>
      <c r="W107" s="144">
        <f t="shared" si="67"/>
        <v>1.9894375656173178E-06</v>
      </c>
      <c r="X107" s="22" t="str">
        <f>IMPRODUCT(IMDIV($D$28,COMPLEX(1,$B107*$D$29,"j")),$AW107)</f>
        <v>5000000000</v>
      </c>
      <c r="Y107" s="124">
        <f>IMABS($X107)</f>
        <v>5000000000</v>
      </c>
      <c r="Z107" s="111" t="str">
        <f>IMPRODUCT($S107,$X107)</f>
        <v>-9.89465070362395-1.23683182109043E-004j</v>
      </c>
      <c r="AA107" s="197">
        <f>IMABS($Z107)</f>
        <v>9.894650704396971</v>
      </c>
      <c r="AB107" s="111">
        <f t="shared" si="68"/>
        <v>0.019789301408793942</v>
      </c>
      <c r="AC107" s="111">
        <f t="shared" si="69"/>
        <v>5000001952.735144</v>
      </c>
      <c r="AD107" s="145">
        <f t="shared" si="70"/>
        <v>9947.187828086591</v>
      </c>
      <c r="AE107" s="119" t="str">
        <f>IMPRODUCT($L107,$Z107)</f>
        <v>-1.09574726670013E-002-2.72957250711816E-002j</v>
      </c>
      <c r="AF107" s="141">
        <f>IMABS($AE107)</f>
        <v>0.029412970173201013</v>
      </c>
      <c r="AG107" s="111">
        <f t="shared" si="59"/>
        <v>0.970587029826799</v>
      </c>
      <c r="AH107" s="106">
        <f>IF(AND(IMREAL(AE107)&lt;0,IMAGINARY(AE107)&gt;0),180/PI()*IMARGUMENT($AE107)-360,180/PI()*IMARGUMENT($AE107))</f>
        <v>-111.87227721991117</v>
      </c>
      <c r="AI107" s="111" t="str">
        <f>IMDIV($Z107,IMSUM(1,IMPRODUCT($Z107,$L107)))</f>
        <v>-9.99665477170128-0.276014039758343j</v>
      </c>
      <c r="AJ107" s="141">
        <f>IMABS($AI107)</f>
        <v>10.000464507947703</v>
      </c>
      <c r="AK107" s="147">
        <f>180/PI()*IMARGUMENT($AI107)</f>
        <v>-178.41842865803798</v>
      </c>
      <c r="AL107" s="144">
        <f t="shared" si="71"/>
        <v>1.9895291995686695E-05</v>
      </c>
      <c r="AM107" s="146">
        <f t="shared" si="72"/>
        <v>0.020000929015895407</v>
      </c>
      <c r="AN107" s="119" t="str">
        <f>IMPRODUCT($AI107,COMPLEX(0,$B107,"j"),$D$24)</f>
        <v>277.479577469585-10049.7335012j</v>
      </c>
      <c r="AO107" s="142">
        <f>IMABS(AN107)</f>
        <v>10053.56346580924</v>
      </c>
      <c r="AP107" s="132">
        <f>180/PI()*IMARGUMENT($AN107)</f>
        <v>-88.41842865803795</v>
      </c>
      <c r="AQ107" s="133">
        <f t="shared" si="73"/>
        <v>5053472180.253623</v>
      </c>
      <c r="AR107" s="133">
        <f t="shared" si="53"/>
        <v>3.768647530764286E-11</v>
      </c>
      <c r="AS107" s="779">
        <f t="shared" si="54"/>
        <v>7960.41544217216</v>
      </c>
      <c r="AT107" s="143">
        <f t="shared" si="55"/>
        <v>400000000.00000006</v>
      </c>
      <c r="AU107" s="120">
        <f t="shared" si="56"/>
        <v>500</v>
      </c>
      <c r="AV107" s="130">
        <f t="shared" si="57"/>
        <v>0.6250000000000001</v>
      </c>
      <c r="AW107" s="582" t="str">
        <f>IF($D$10,IMDIV(COMPLEX(1,$B107/$D$49,"j"),COMPLEX(1,$B107/$D$50,"j")),COMPLEX(1,0,"j"))</f>
        <v>1</v>
      </c>
      <c r="AX107" s="149">
        <f>IMABS(AW107)</f>
        <v>1</v>
      </c>
      <c r="AY107" s="111"/>
    </row>
    <row r="108" spans="1:51" ht="15" customHeight="1">
      <c r="A108" s="358">
        <v>90000</v>
      </c>
      <c r="B108" s="144">
        <f t="shared" si="58"/>
        <v>565486.6776461628</v>
      </c>
      <c r="C108" s="199"/>
      <c r="D108" s="659"/>
      <c r="E108" s="122"/>
      <c r="F108" s="122"/>
      <c r="G108" s="179"/>
      <c r="H108" s="139" t="str">
        <f>IMDIV(COMPLEX(0,$D$15*$D$23*$B108,"j"),COMPLEX(1,$B108*$D$16*$D$15*$D$23,"j"))</f>
        <v>3.36798336798337E-003+7.48440748440748E-003j</v>
      </c>
      <c r="I108" s="145">
        <f t="shared" si="52"/>
        <v>1E-05</v>
      </c>
      <c r="J108" s="150" t="str">
        <f>IMDIV(IF($D$12,$D$52/$D$19,$D$53)/$D$21,COMPLEX(1,$B108*IF($D$12,$D$52,$D$53*$D$19)*$D$17,"j"))</f>
        <v>1.96487584064068E-021-1.11111111111111E-011j</v>
      </c>
      <c r="K108" s="140" t="str">
        <f>IMSUM(IF($D$9,$H108,0),IF($D$7,$I108,0),IF($D$8,$J108,0))</f>
        <v>3.37798336798337E-003+7.48440747329637E-003j</v>
      </c>
      <c r="L108" s="139" t="str">
        <f>IMPRODUCT($D$22,$K108)</f>
        <v>1.35119334719335E-003+2.99376298931855E-003j</v>
      </c>
      <c r="M108" s="377">
        <f>IMABS($L108)</f>
        <v>0.003284560898767613</v>
      </c>
      <c r="N108" s="141">
        <f t="shared" si="60"/>
        <v>304.4546990665346</v>
      </c>
      <c r="O108" s="498">
        <f t="shared" si="61"/>
        <v>0.000538394114488827</v>
      </c>
      <c r="P108" s="141">
        <f t="shared" si="62"/>
        <v>0.6089093981330692</v>
      </c>
      <c r="Q108" s="141">
        <f t="shared" si="63"/>
        <v>344330.1525377939</v>
      </c>
      <c r="R108" s="141">
        <f t="shared" si="64"/>
        <v>194714113971.99353</v>
      </c>
      <c r="S108" s="119" t="str">
        <f>IMDIV(1/$D$37,COMPLEX(1-$B108*$B108*$D$40*$D$40,$B108*2*$D$26*$D$40,"j"))</f>
        <v>-1.56359899539829E-009-1.73733275332302E-014j</v>
      </c>
      <c r="T108" s="111">
        <f>IMABS($S108)</f>
        <v>1.5635989954948085E-09</v>
      </c>
      <c r="U108" s="111">
        <f t="shared" si="65"/>
        <v>3.1271979909896172E-12</v>
      </c>
      <c r="V108" s="143">
        <f t="shared" si="66"/>
        <v>1.0000003085803453</v>
      </c>
      <c r="W108" s="144">
        <f t="shared" si="67"/>
        <v>1.7683888022664735E-06</v>
      </c>
      <c r="X108" s="22" t="str">
        <f>IMPRODUCT(IMDIV($D$28,COMPLEX(1,$B108*$D$29,"j")),$AW108)</f>
        <v>5000000000</v>
      </c>
      <c r="Y108" s="124">
        <f>IMABS($X108)</f>
        <v>5000000000</v>
      </c>
      <c r="Z108" s="111" t="str">
        <f>IMPRODUCT($S108,$X108)</f>
        <v>-7.81799497699145-8.6866637666151E-005j</v>
      </c>
      <c r="AA108" s="197">
        <f>IMABS($Z108)</f>
        <v>7.817994977474043</v>
      </c>
      <c r="AB108" s="111">
        <f t="shared" si="68"/>
        <v>0.015635989954948085</v>
      </c>
      <c r="AC108" s="111">
        <f t="shared" si="69"/>
        <v>5000001542.901726</v>
      </c>
      <c r="AD108" s="145">
        <f t="shared" si="70"/>
        <v>8841.944011332367</v>
      </c>
      <c r="AE108" s="119" t="str">
        <f>IMPRODUCT($L108,$Z108)</f>
        <v>-1.0563362743177E-002-2.34053413864182E-002j</v>
      </c>
      <c r="AF108" s="141">
        <f>IMABS($AE108)</f>
        <v>0.02567868060977278</v>
      </c>
      <c r="AG108" s="111">
        <f t="shared" si="59"/>
        <v>0.9743213193902273</v>
      </c>
      <c r="AH108" s="106">
        <f>IF(AND(IMREAL(AE108)&lt;0,IMAGINARY(AE108)&gt;0),180/PI()*IMARGUMENT($AE108)-360,180/PI()*IMARGUMENT($AE108))</f>
        <v>-114.29073886587555</v>
      </c>
      <c r="AI108" s="111" t="str">
        <f>IMDIV($Z108,IMSUM(1,IMPRODUCT($Z108,$L108)))</f>
        <v>-7.89703995649522-0.186894012004958j</v>
      </c>
      <c r="AJ108" s="141">
        <f>IMABS($AI108)</f>
        <v>7.899251195284611</v>
      </c>
      <c r="AK108" s="147">
        <f>180/PI()*IMARGUMENT($AI108)</f>
        <v>-178.64427182556625</v>
      </c>
      <c r="AL108" s="144">
        <f t="shared" si="71"/>
        <v>1.3968943049490094E-05</v>
      </c>
      <c r="AM108" s="146">
        <f t="shared" si="72"/>
        <v>0.015798502390569222</v>
      </c>
      <c r="AN108" s="119" t="str">
        <f>IMPRODUCT($AI108,COMPLEX(0,$B108,"j"),$D$24)</f>
        <v>211.372147841292-8931.34177647496j</v>
      </c>
      <c r="AO108" s="142">
        <f>IMABS(AN108)</f>
        <v>8933.842628627948</v>
      </c>
      <c r="AP108" s="132">
        <f>180/PI()*IMARGUMENT($AN108)</f>
        <v>-88.64427182556624</v>
      </c>
      <c r="AQ108" s="133">
        <f t="shared" si="73"/>
        <v>5051968986.676481</v>
      </c>
      <c r="AR108" s="133">
        <f t="shared" si="53"/>
        <v>2.98853776403512E-11</v>
      </c>
      <c r="AS108" s="779">
        <f t="shared" si="54"/>
        <v>10038.353994059635</v>
      </c>
      <c r="AT108" s="143">
        <f t="shared" si="55"/>
        <v>450000000.0000001</v>
      </c>
      <c r="AU108" s="120">
        <f t="shared" si="56"/>
        <v>500</v>
      </c>
      <c r="AV108" s="130">
        <f t="shared" si="57"/>
        <v>0.5555555555555555</v>
      </c>
      <c r="AW108" s="582" t="str">
        <f>IF($D$10,IMDIV(COMPLEX(1,$B108/$D$49,"j"),COMPLEX(1,$B108/$D$50,"j")),COMPLEX(1,0,"j"))</f>
        <v>1</v>
      </c>
      <c r="AX108" s="149">
        <f>IMABS(AW108)</f>
        <v>1</v>
      </c>
      <c r="AY108" s="111"/>
    </row>
    <row r="109" spans="1:51" ht="15" customHeight="1">
      <c r="A109" s="358">
        <v>100000</v>
      </c>
      <c r="B109" s="130">
        <f t="shared" si="58"/>
        <v>628318.5307179586</v>
      </c>
      <c r="C109" s="199"/>
      <c r="D109" s="653"/>
      <c r="E109" s="122"/>
      <c r="F109" s="122"/>
      <c r="G109" s="179"/>
      <c r="H109" s="139" t="str">
        <f>IMDIV(COMPLEX(0,$D$15*$D$23*$B109,"j"),COMPLEX(1,$B109*$D$16*$D$15*$D$23,"j"))</f>
        <v>4E-003+8E-003j</v>
      </c>
      <c r="I109" s="145">
        <f t="shared" si="52"/>
        <v>1E-05</v>
      </c>
      <c r="J109" s="150" t="str">
        <f>IMDIV(IF($D$12,$D$52/$D$19,$D$53)/$D$21,COMPLEX(1,$B109*IF($D$12,$D$52,$D$53*$D$19)*$D$17,"j"))</f>
        <v>1.59154943091895E-021-9.99999999999999E-012j</v>
      </c>
      <c r="K109" s="140" t="str">
        <f>IMSUM(IF($D$9,$H109,0),IF($D$7,$I109,0),IF($D$8,$J109,0))</f>
        <v>4.01E-003+7.99999999E-003j</v>
      </c>
      <c r="L109" s="139" t="str">
        <f>IMPRODUCT($D$22,$K109)</f>
        <v>1.604E-003+3.199999996E-003j</v>
      </c>
      <c r="M109" s="377">
        <f>IMABS($L109)</f>
        <v>0.0035794994027657</v>
      </c>
      <c r="N109" s="141">
        <f t="shared" si="60"/>
        <v>279.36867351545027</v>
      </c>
      <c r="O109" s="498">
        <f t="shared" si="61"/>
        <v>0.0004446290533500978</v>
      </c>
      <c r="P109" s="141">
        <f t="shared" si="62"/>
        <v>0.5587373470309005</v>
      </c>
      <c r="Q109" s="141">
        <f t="shared" si="63"/>
        <v>351065.02894370555</v>
      </c>
      <c r="R109" s="141">
        <f t="shared" si="64"/>
        <v>220580663172.36667</v>
      </c>
      <c r="S109" s="119" t="str">
        <f>IMDIV(1/$D$37,COMPLEX(1-$B109*$B109*$D$40*$D$40,$B109*2*$D$26*$D$40,"j"))</f>
        <v>-1.26651511203135E-009-1.26651542866021E-014j</v>
      </c>
      <c r="T109" s="111">
        <f>IMABS($S109)</f>
        <v>1.2665151120946759E-09</v>
      </c>
      <c r="U109" s="111">
        <f t="shared" si="65"/>
        <v>2.533030224189352E-12</v>
      </c>
      <c r="V109" s="143">
        <f t="shared" si="66"/>
        <v>1.0000002499500635</v>
      </c>
      <c r="W109" s="144">
        <f t="shared" si="67"/>
        <v>1.5915498287268348E-06</v>
      </c>
      <c r="X109" s="22" t="str">
        <f>IMPRODUCT(IMDIV($D$28,COMPLEX(1,$B109*$D$29,"j")),$AW109)</f>
        <v>5000000000</v>
      </c>
      <c r="Y109" s="124">
        <f>IMABS($X109)</f>
        <v>5000000000</v>
      </c>
      <c r="Z109" s="111" t="str">
        <f>IMPRODUCT($S109,$X109)</f>
        <v>-6.33257556015675-6.33257714330105E-005j</v>
      </c>
      <c r="AA109" s="197">
        <f>IMABS($Z109)</f>
        <v>6.332575560473378</v>
      </c>
      <c r="AB109" s="111">
        <f t="shared" si="68"/>
        <v>0.012665151120946757</v>
      </c>
      <c r="AC109" s="111">
        <f t="shared" si="69"/>
        <v>5000001249.750317</v>
      </c>
      <c r="AD109" s="145">
        <f t="shared" si="70"/>
        <v>7957.7491436341725</v>
      </c>
      <c r="AE109" s="119" t="str">
        <f>IMPRODUCT($L109,$Z109)</f>
        <v>-1.01572485560231E-002-2.02643433417087E-002j</v>
      </c>
      <c r="AF109" s="141">
        <f>IMABS($AE109)</f>
        <v>0.02266745043668315</v>
      </c>
      <c r="AG109" s="111">
        <f t="shared" si="59"/>
        <v>0.9773325495633168</v>
      </c>
      <c r="AH109" s="106">
        <f>IF(AND(IMREAL(AE109)&lt;0,IMAGINARY(AE109)&gt;0),180/PI()*IMARGUMENT($AE109)-360,180/PI()*IMARGUMENT($AE109))</f>
        <v>-116.62174537470057</v>
      </c>
      <c r="AI109" s="111" t="str">
        <f>IMDIV($Z109,IMSUM(1,IMPRODUCT($Z109,$L109)))</f>
        <v>-6.39487564351234-0.130981695072235j</v>
      </c>
      <c r="AJ109" s="141">
        <f>IMABS($AI109)</f>
        <v>6.39621690536143</v>
      </c>
      <c r="AK109" s="147">
        <f>180/PI()*IMARGUMENT($AI109)</f>
        <v>-178.8266153188894</v>
      </c>
      <c r="AL109" s="144">
        <f t="shared" si="71"/>
        <v>1.0179895375762174E-05</v>
      </c>
      <c r="AM109" s="146">
        <f t="shared" si="72"/>
        <v>0.012792433810722861</v>
      </c>
      <c r="AN109" s="119" t="str">
        <f>IMPRODUCT($AI109,COMPLEX(0,$B109,"j"),$D$24)</f>
        <v>164.596452397469-8036.03773691147j</v>
      </c>
      <c r="AO109" s="142">
        <f>IMABS(AN109)</f>
        <v>8037.723216260128</v>
      </c>
      <c r="AP109" s="132">
        <f>180/PI()*IMARGUMENT($AN109)</f>
        <v>-88.8266153188894</v>
      </c>
      <c r="AQ109" s="133">
        <f t="shared" si="73"/>
        <v>5050250441.558186</v>
      </c>
      <c r="AR109" s="133">
        <f t="shared" si="53"/>
        <v>2.4278432101170375E-11</v>
      </c>
      <c r="AS109" s="779">
        <f t="shared" si="54"/>
        <v>12356.646374439397</v>
      </c>
      <c r="AT109" s="143">
        <f t="shared" si="55"/>
        <v>500000000</v>
      </c>
      <c r="AU109" s="120">
        <f t="shared" si="56"/>
        <v>500</v>
      </c>
      <c r="AV109" s="130">
        <f t="shared" si="57"/>
        <v>0.5</v>
      </c>
      <c r="AW109" s="582" t="str">
        <f>IF($D$10,IMDIV(COMPLEX(1,$B109/$D$49,"j"),COMPLEX(1,$B109/$D$50,"j")),COMPLEX(1,0,"j"))</f>
        <v>1</v>
      </c>
      <c r="AX109" s="149">
        <f>IMABS(AW109)</f>
        <v>1</v>
      </c>
      <c r="AY109" s="111"/>
    </row>
    <row r="110" spans="1:51" ht="15" customHeight="1" thickBot="1">
      <c r="A110" s="358">
        <v>150000</v>
      </c>
      <c r="B110" s="130">
        <f aca="true" t="shared" si="74" ref="B110:B119">2*PI()*A110</f>
        <v>942477.7960769379</v>
      </c>
      <c r="C110" s="497"/>
      <c r="D110" s="660"/>
      <c r="E110" s="661"/>
      <c r="F110" s="661"/>
      <c r="G110" s="662"/>
      <c r="H110" s="139" t="str">
        <f>IMDIV(COMPLEX(0,$D$15*$D$23*$B110,"j"),COMPLEX(1,$B110*$D$16*$D$15*$D$23,"j"))</f>
        <v>7.2E-003+9.6E-003j</v>
      </c>
      <c r="I110" s="145">
        <f t="shared" si="52"/>
        <v>1E-05</v>
      </c>
      <c r="J110" s="150" t="str">
        <f>IMDIV(IF($D$12,$D$52/$D$19,$D$53)/$D$21,COMPLEX(1,$B110*IF($D$12,$D$52,$D$53*$D$19)*$D$17,"j"))</f>
        <v>7.07355302630646E-022-6.66666666666666E-012j</v>
      </c>
      <c r="K110" s="140" t="str">
        <f>IMSUM(IF($D$9,$H110,0),IF($D$7,$I110,0),IF($D$8,$J110,0))</f>
        <v>7.21E-003+9.59999999333333E-003j</v>
      </c>
      <c r="L110" s="139" t="str">
        <f>IMPRODUCT($D$22,$K110)</f>
        <v>2.884E-003+3.83999999733333E-003j</v>
      </c>
      <c r="M110" s="377">
        <f>IMABS($L110)</f>
        <v>0.004802401064001212</v>
      </c>
      <c r="N110" s="141">
        <f t="shared" si="60"/>
        <v>208.2291725895194</v>
      </c>
      <c r="O110" s="498">
        <f t="shared" si="61"/>
        <v>0.00022093801409038276</v>
      </c>
      <c r="P110" s="141">
        <f t="shared" si="62"/>
        <v>0.41645834517903885</v>
      </c>
      <c r="Q110" s="141">
        <f t="shared" si="63"/>
        <v>392502.7433221892</v>
      </c>
      <c r="R110" s="141">
        <f t="shared" si="64"/>
        <v>369925120480.4489</v>
      </c>
      <c r="S110" s="119" t="str">
        <f>IMDIV(1/$D$37,COMPLEX(1-$B110*$B110*$D$40*$D$40,$B110*2*$D$26*$D$40,"j"))</f>
        <v>-5.62895527198584E-010-3.75263726495026E-015j</v>
      </c>
      <c r="T110" s="111">
        <f>IMABS($S110)</f>
        <v>5.628955272110929E-10</v>
      </c>
      <c r="U110" s="111">
        <f t="shared" si="65"/>
        <v>1.1257910544221857E-12</v>
      </c>
      <c r="V110" s="143">
        <f t="shared" si="66"/>
        <v>1.0000001110889007</v>
      </c>
      <c r="W110" s="144">
        <f t="shared" si="67"/>
        <v>1.0610330718149536E-06</v>
      </c>
      <c r="X110" s="22" t="str">
        <f>IMPRODUCT(IMDIV($D$28,COMPLEX(1,$B110*$D$29,"j")),$AW110)</f>
        <v>5000000000</v>
      </c>
      <c r="Y110" s="124">
        <f>IMABS($X110)</f>
        <v>5000000000</v>
      </c>
      <c r="Z110" s="111" t="str">
        <f>IMPRODUCT($S110,$X110)</f>
        <v>-2.81447763599292-1.87631863247513E-005j</v>
      </c>
      <c r="AA110" s="197">
        <f>IMABS($Z110)</f>
        <v>2.8144776360554635</v>
      </c>
      <c r="AB110" s="111">
        <f t="shared" si="68"/>
        <v>0.005628955272110927</v>
      </c>
      <c r="AC110" s="111">
        <f t="shared" si="69"/>
        <v>5000000555.444504</v>
      </c>
      <c r="AD110" s="145">
        <f t="shared" si="70"/>
        <v>5305.165359074767</v>
      </c>
      <c r="AE110" s="119" t="str">
        <f>IMPRODUCT($L110,$Z110)</f>
        <v>-8.11688145156814E-003-1.08076482277369E-002j</v>
      </c>
      <c r="AF110" s="141">
        <f>IMABS($AE110)</f>
        <v>0.01351625039400038</v>
      </c>
      <c r="AG110" s="111">
        <f t="shared" si="59"/>
        <v>0.9864837496059996</v>
      </c>
      <c r="AH110" s="106">
        <f>IF(AND(IMREAL(AE110)&lt;0,IMAGINARY(AE110)&gt;0),180/PI()*IMARGUMENT($AE110)-360,180/PI()*IMARGUMENT($AE110))</f>
        <v>-126.9076937846872</v>
      </c>
      <c r="AI110" s="111" t="str">
        <f>IMDIV($Z110,IMSUM(1,IMPRODUCT($Z110,$L110)))</f>
        <v>-2.83717231431037-3.09330030394778E-002j</v>
      </c>
      <c r="AJ110" s="141">
        <f>IMABS($AI110)</f>
        <v>2.8373409368220632</v>
      </c>
      <c r="AK110" s="147">
        <f>180/PI()*IMARGUMENT($AI110)</f>
        <v>-179.37534273396932</v>
      </c>
      <c r="AL110" s="144">
        <f t="shared" si="71"/>
        <v>3.0105122355481364E-06</v>
      </c>
      <c r="AM110" s="146">
        <f t="shared" si="72"/>
        <v>0.005674681873644127</v>
      </c>
      <c r="AN110" s="119" t="str">
        <f>IMPRODUCT($AI110,COMPLEX(0,$B110,"j"),$D$24)</f>
        <v>58.3073370613765-5347.94381976349j</v>
      </c>
      <c r="AO110" s="142">
        <f>IMABS(AN110)</f>
        <v>5348.261665709869</v>
      </c>
      <c r="AP110" s="132">
        <f>180/PI()*IMARGUMENT($AN110)</f>
        <v>-89.3753427339693</v>
      </c>
      <c r="AQ110" s="133">
        <f t="shared" si="73"/>
        <v>5040617867.541007</v>
      </c>
      <c r="AR110" s="133">
        <f t="shared" si="53"/>
        <v>1.0887841128503318E-11</v>
      </c>
      <c r="AS110" s="779">
        <f t="shared" si="54"/>
        <v>27553.671702154887</v>
      </c>
      <c r="AT110" s="143">
        <f t="shared" si="55"/>
        <v>750000000.0000001</v>
      </c>
      <c r="AU110" s="120">
        <f t="shared" si="56"/>
        <v>500</v>
      </c>
      <c r="AV110" s="130">
        <f t="shared" si="57"/>
        <v>0.33333333333333337</v>
      </c>
      <c r="AW110" s="582" t="str">
        <f>IF($D$10,IMDIV(COMPLEX(1,$B110/$D$49,"j"),COMPLEX(1,$B110/$D$50,"j")),COMPLEX(1,0,"j"))</f>
        <v>1</v>
      </c>
      <c r="AX110" s="149">
        <f>IMABS(AW110)</f>
        <v>1</v>
      </c>
      <c r="AY110" s="111"/>
    </row>
    <row r="111" spans="1:51" ht="15" customHeight="1" thickBot="1">
      <c r="A111" s="358">
        <v>200000</v>
      </c>
      <c r="B111" s="130">
        <f t="shared" si="74"/>
        <v>1256637.0614359172</v>
      </c>
      <c r="G111" s="106"/>
      <c r="H111" s="139" t="str">
        <f>IMDIV(COMPLEX(0,$D$15*$D$23*$B111,"j"),COMPLEX(1,$B111*$D$16*$D$15*$D$23,"j"))</f>
        <v>1E-002+1E-002j</v>
      </c>
      <c r="I111" s="145">
        <f t="shared" si="52"/>
        <v>1E-05</v>
      </c>
      <c r="J111" s="150" t="str">
        <f>IMDIV(IF($D$12,$D$52/$D$19,$D$53)/$D$21,COMPLEX(1,$B111*IF($D$12,$D$52,$D$53*$D$19)*$D$17,"j"))</f>
        <v>3.97887357729737E-022-4.99999999999999E-012j</v>
      </c>
      <c r="K111" s="140" t="str">
        <f>IMSUM(IF($D$9,$H111,0),IF($D$7,$I111,0),IF($D$8,$J111,0))</f>
        <v>1.001E-002+9.999999995E-003j</v>
      </c>
      <c r="L111" s="139" t="str">
        <f>IMPRODUCT($D$22,$K111)</f>
        <v>4.004E-003+3.999999998E-003j</v>
      </c>
      <c r="M111" s="377">
        <f>IMABS($L111)</f>
        <v>0.0056596833819569795</v>
      </c>
      <c r="N111" s="141">
        <f t="shared" si="60"/>
        <v>176.68832910123402</v>
      </c>
      <c r="O111" s="498">
        <f t="shared" si="61"/>
        <v>0.0001406041048155449</v>
      </c>
      <c r="P111" s="141">
        <f t="shared" si="62"/>
        <v>0.35337665820246805</v>
      </c>
      <c r="Q111" s="141">
        <f t="shared" si="63"/>
        <v>444066.20534359396</v>
      </c>
      <c r="R111" s="141">
        <f t="shared" si="64"/>
        <v>558030051365.9725</v>
      </c>
      <c r="S111" s="119" t="str">
        <f>IMDIV(1/$D$37,COMPLEX(1-$B111*$B111*$D$40*$D$40,$B111*2*$D$26*$D$40,"j"))</f>
        <v>-3.16628718663685E-010-1.5831436922649E-015j</v>
      </c>
      <c r="T111" s="111">
        <f>IMABS($S111)</f>
        <v>3.166287186676429E-10</v>
      </c>
      <c r="U111" s="111">
        <f t="shared" si="65"/>
        <v>6.332574373352857E-13</v>
      </c>
      <c r="V111" s="143">
        <f t="shared" si="66"/>
        <v>1.0000000624875045</v>
      </c>
      <c r="W111" s="144">
        <f t="shared" si="67"/>
        <v>7.957747651854529E-07</v>
      </c>
      <c r="X111" s="22" t="str">
        <f>IMPRODUCT(IMDIV($D$28,COMPLEX(1,$B111*$D$29,"j")),$AW111)</f>
        <v>5000000000</v>
      </c>
      <c r="Y111" s="124">
        <f>IMABS($X111)</f>
        <v>5000000000</v>
      </c>
      <c r="Z111" s="111" t="str">
        <f>IMPRODUCT($S111,$X111)</f>
        <v>-1.58314359331843-7.9157184613245E-006j</v>
      </c>
      <c r="AA111" s="197">
        <f>IMABS($Z111)</f>
        <v>1.5831435933382192</v>
      </c>
      <c r="AB111" s="111">
        <f t="shared" si="68"/>
        <v>0.0031662871866764385</v>
      </c>
      <c r="AC111" s="111">
        <f t="shared" si="69"/>
        <v>5000000312.437538</v>
      </c>
      <c r="AD111" s="145">
        <f t="shared" si="70"/>
        <v>3978.873825927277</v>
      </c>
      <c r="AE111" s="119" t="str">
        <f>IMPRODUCT($L111,$Z111)</f>
        <v>-6.33887528477316E-003-6.33260606464415E-003j</v>
      </c>
      <c r="AF111" s="141">
        <f>IMABS($AE111)</f>
        <v>0.008960091486467973</v>
      </c>
      <c r="AG111" s="111">
        <f t="shared" si="59"/>
        <v>0.9910399085135321</v>
      </c>
      <c r="AH111" s="106">
        <f>IF(AND(IMREAL(AE111)&lt;0,IMAGINARY(AE111)&gt;0),180/PI()*IMARGUMENT($AE111)-360,180/PI()*IMARGUMENT($AE111))</f>
        <v>-135.02834710599478</v>
      </c>
      <c r="AI111" s="111" t="str">
        <f>IMDIV($Z111,IMSUM(1,IMPRODUCT($Z111,$L111)))</f>
        <v>-1.59317820376837-1.0161296867277E-002j</v>
      </c>
      <c r="AJ111" s="141">
        <f>IMABS($AI111)</f>
        <v>1.593210607834581</v>
      </c>
      <c r="AK111" s="147">
        <f>180/PI()*IMARGUMENT($AI111)</f>
        <v>-179.6345722473025</v>
      </c>
      <c r="AL111" s="144">
        <f t="shared" si="71"/>
        <v>1.2678367181165837E-06</v>
      </c>
      <c r="AM111" s="146">
        <f t="shared" si="72"/>
        <v>0.003186421215669162</v>
      </c>
      <c r="AN111" s="119" t="str">
        <f>IMPRODUCT($AI111,COMPLEX(0,$B111,"j"),$D$24)</f>
        <v>25.538124471346-4004.09355265448j</v>
      </c>
      <c r="AO111" s="142">
        <f>IMABS(AN111)</f>
        <v>4004.1749929555635</v>
      </c>
      <c r="AP111" s="132">
        <f>180/PI()*IMARGUMENT($AN111)</f>
        <v>-89.63457224730247</v>
      </c>
      <c r="AQ111" s="133">
        <f t="shared" si="73"/>
        <v>5031794696.622857</v>
      </c>
      <c r="AR111" s="133">
        <f t="shared" si="53"/>
        <v>6.152066323669572E-12</v>
      </c>
      <c r="AS111" s="779">
        <f t="shared" si="54"/>
        <v>48764.103671277815</v>
      </c>
      <c r="AT111" s="143">
        <f t="shared" si="55"/>
        <v>1000000000</v>
      </c>
      <c r="AU111" s="120">
        <f t="shared" si="56"/>
        <v>500</v>
      </c>
      <c r="AV111" s="130">
        <f t="shared" si="57"/>
        <v>0.25</v>
      </c>
      <c r="AW111" s="582" t="str">
        <f>IF($D$10,IMDIV(COMPLEX(1,$B111/$D$49,"j"),COMPLEX(1,$B111/$D$50,"j")),COMPLEX(1,0,"j"))</f>
        <v>1</v>
      </c>
      <c r="AX111" s="149">
        <f>IMABS(AW111)</f>
        <v>1</v>
      </c>
      <c r="AY111" s="111"/>
    </row>
    <row r="112" spans="1:51" ht="15" customHeight="1">
      <c r="A112" s="358">
        <v>300000</v>
      </c>
      <c r="B112" s="130">
        <f t="shared" si="74"/>
        <v>1884955.5921538759</v>
      </c>
      <c r="C112" s="536" t="s">
        <v>388</v>
      </c>
      <c r="D112" s="18"/>
      <c r="E112" s="356">
        <f aca="true" t="shared" si="75" ref="E112:E119">$A$120</f>
        <v>2537.050059213165</v>
      </c>
      <c r="F112" s="127">
        <v>180</v>
      </c>
      <c r="G112" s="106"/>
      <c r="H112" s="139" t="str">
        <f>IMDIV(COMPLEX(0,$D$15*$D$23*$B112,"j"),COMPLEX(1,$B112*$D$16*$D$15*$D$23,"j"))</f>
        <v>1.38461538461538E-002+9.23076923076923E-003j</v>
      </c>
      <c r="I112" s="145">
        <f t="shared" si="52"/>
        <v>1E-05</v>
      </c>
      <c r="J112" s="150" t="str">
        <f>IMDIV(IF($D$12,$D$52/$D$19,$D$53)/$D$21,COMPLEX(1,$B112*IF($D$12,$D$52,$D$53*$D$19)*$D$17,"j"))</f>
        <v>1.76838825657661E-022-3.33333333333333E-012j</v>
      </c>
      <c r="K112" s="140" t="str">
        <f>IMSUM(IF($D$9,$H112,0),IF($D$7,$I112,0),IF($D$8,$J112,0))</f>
        <v>1.38561538461538E-002+9.2307692274359E-003j</v>
      </c>
      <c r="L112" s="139" t="str">
        <f>IMPRODUCT($D$22,$K112)</f>
        <v>5.54246153846152E-003+3.69230769097436E-003j</v>
      </c>
      <c r="M112" s="377">
        <f>IMABS($L112)</f>
        <v>0.006659730924756169</v>
      </c>
      <c r="N112" s="141">
        <f t="shared" si="60"/>
        <v>150.1562167148086</v>
      </c>
      <c r="O112" s="498">
        <f t="shared" si="61"/>
        <v>7.966034708713222E-05</v>
      </c>
      <c r="P112" s="141">
        <f t="shared" si="62"/>
        <v>0.3003124334296172</v>
      </c>
      <c r="Q112" s="141">
        <f t="shared" si="63"/>
        <v>566075.6007864956</v>
      </c>
      <c r="R112" s="141">
        <f t="shared" si="64"/>
        <v>1067027369284.3699</v>
      </c>
      <c r="S112" s="119" t="str">
        <f>IMDIV(1/$D$37,COMPLEX(1-$B112*$B112*$D$40*$D$40,$B112*2*$D$26*$D$40,"j"))</f>
        <v>-1.40723870077346E-010-4.69079579954476E-016j</v>
      </c>
      <c r="T112" s="111">
        <f>IMABS($S112)</f>
        <v>1.4072387007812778E-10</v>
      </c>
      <c r="U112" s="111">
        <f t="shared" si="65"/>
        <v>2.8144774015625555E-13</v>
      </c>
      <c r="V112" s="143">
        <f t="shared" si="66"/>
        <v>1.00000002777222</v>
      </c>
      <c r="W112" s="144">
        <f t="shared" si="67"/>
        <v>5.305164917066049E-07</v>
      </c>
      <c r="X112" s="22" t="str">
        <f>IMPRODUCT(IMDIV($D$28,COMPLEX(1,$B112*$D$29,"j")),$AW112)</f>
        <v>5000000000</v>
      </c>
      <c r="Y112" s="124">
        <f>IMABS($X112)</f>
        <v>5000000000</v>
      </c>
      <c r="Z112" s="111" t="str">
        <f>IMPRODUCT($S112,$X112)</f>
        <v>-0.70361935038673-2.34539789977238E-006j</v>
      </c>
      <c r="AA112" s="197">
        <f>IMABS($Z112)</f>
        <v>0.7036193503906389</v>
      </c>
      <c r="AB112" s="111">
        <f t="shared" si="68"/>
        <v>0.001407238700781278</v>
      </c>
      <c r="AC112" s="111">
        <f t="shared" si="69"/>
        <v>5000000138.861101</v>
      </c>
      <c r="AD112" s="145">
        <f t="shared" si="70"/>
        <v>2652.5824585330247</v>
      </c>
      <c r="AE112" s="119" t="str">
        <f>IMPRODUCT($L112,$Z112)</f>
        <v>-3.89977452730503E-003-2.59799213822896E-003j</v>
      </c>
      <c r="AF112" s="141">
        <f>IMABS($AE112)</f>
        <v>0.0046859155470533875</v>
      </c>
      <c r="AG112" s="111">
        <f t="shared" si="59"/>
        <v>0.9953140844529467</v>
      </c>
      <c r="AH112" s="106">
        <f>IF(AND(IMREAL(AE112)&lt;0,IMAGINARY(AE112)&gt;0),180/PI()*IMARGUMENT($AE112)-360,180/PI()*IMARGUMENT($AE112))</f>
        <v>-146.32883054557016</v>
      </c>
      <c r="AI112" s="111" t="str">
        <f>IMDIV($Z112,IMSUM(1,IMPRODUCT($Z112,$L112)))</f>
        <v>-0.706369238683973-1.84468096653179E-003j</v>
      </c>
      <c r="AJ112" s="141">
        <f>IMABS($AI112)</f>
        <v>0.7063716473690347</v>
      </c>
      <c r="AK112" s="147">
        <f>180/PI()*IMARGUMENT($AI112)</f>
        <v>-179.8503725985334</v>
      </c>
      <c r="AL112" s="144">
        <f t="shared" si="71"/>
        <v>3.747417977958236E-07</v>
      </c>
      <c r="AM112" s="146">
        <f t="shared" si="72"/>
        <v>0.0014127432947380694</v>
      </c>
      <c r="AN112" s="119" t="str">
        <f>IMPRODUCT($AI112,COMPLEX(0,$B112,"j"),$D$24)</f>
        <v>6.95428340720784-2662.94929316567j</v>
      </c>
      <c r="AO112" s="142">
        <f>IMABS(AN112)</f>
        <v>2662.9583736944232</v>
      </c>
      <c r="AP112" s="132">
        <f>180/PI()*IMARGUMENT($AN112)</f>
        <v>-89.85037259853341</v>
      </c>
      <c r="AQ112" s="133">
        <f t="shared" si="73"/>
        <v>5019558278.168279</v>
      </c>
      <c r="AR112" s="133">
        <f t="shared" si="53"/>
        <v>2.745883769565409E-12</v>
      </c>
      <c r="AS112" s="779">
        <f t="shared" si="54"/>
        <v>109254.44234935005</v>
      </c>
      <c r="AT112" s="143">
        <f t="shared" si="55"/>
        <v>1500000000.0000002</v>
      </c>
      <c r="AU112" s="120">
        <f t="shared" si="56"/>
        <v>500</v>
      </c>
      <c r="AV112" s="130">
        <f t="shared" si="57"/>
        <v>0.16666666666666669</v>
      </c>
      <c r="AW112" s="582" t="str">
        <f>IF($D$10,IMDIV(COMPLEX(1,$B112/$D$49,"j"),COMPLEX(1,$B112/$D$50,"j")),COMPLEX(1,0,"j"))</f>
        <v>1</v>
      </c>
      <c r="AX112" s="149">
        <f>IMABS(AW112)</f>
        <v>1</v>
      </c>
      <c r="AY112" s="111"/>
    </row>
    <row r="113" spans="1:51" ht="15" customHeight="1">
      <c r="A113" s="358">
        <v>400000</v>
      </c>
      <c r="B113" s="130">
        <f t="shared" si="74"/>
        <v>2513274.1228718343</v>
      </c>
      <c r="C113" s="119"/>
      <c r="D113" s="120"/>
      <c r="E113" s="357">
        <f t="shared" si="75"/>
        <v>2537.050059213165</v>
      </c>
      <c r="F113" s="240">
        <f>$AH$120</f>
        <v>-92.96025143696365</v>
      </c>
      <c r="G113" s="106"/>
      <c r="H113" s="139" t="str">
        <f>IMDIV(COMPLEX(0,$D$15*$D$23*$B113,"j"),COMPLEX(1,$B113*$D$16*$D$15*$D$23,"j"))</f>
        <v>1.6E-002+8E-003j</v>
      </c>
      <c r="I113" s="145">
        <f t="shared" si="52"/>
        <v>1E-05</v>
      </c>
      <c r="J113" s="150" t="str">
        <f>IMDIV(IF($D$12,$D$52/$D$19,$D$53)/$D$21,COMPLEX(1,$B113*IF($D$12,$D$52,$D$53*$D$19)*$D$17,"j"))</f>
        <v>9.94718394324349E-023-2.5E-012j</v>
      </c>
      <c r="K113" s="140" t="str">
        <f>IMSUM(IF($D$9,$H113,0),IF($D$7,$I113,0),IF($D$8,$J113,0))</f>
        <v>1.601E-002+7.9999999975E-003j</v>
      </c>
      <c r="L113" s="139" t="str">
        <f>IMPRODUCT($D$22,$K113)</f>
        <v>6.404E-003+3.199999999E-003j</v>
      </c>
      <c r="M113" s="377">
        <f>IMABS($L113)</f>
        <v>0.007158995459811384</v>
      </c>
      <c r="N113" s="141">
        <f t="shared" si="60"/>
        <v>139.6844020384875</v>
      </c>
      <c r="O113" s="498">
        <f t="shared" si="61"/>
        <v>5.557865764315227E-05</v>
      </c>
      <c r="P113" s="141">
        <f t="shared" si="62"/>
        <v>0.279368804076975</v>
      </c>
      <c r="Q113" s="141">
        <f t="shared" si="63"/>
        <v>702130.3860243127</v>
      </c>
      <c r="R113" s="141">
        <f t="shared" si="64"/>
        <v>1764646130076.917</v>
      </c>
      <c r="S113" s="119" t="str">
        <f>IMDIV(1/$D$37,COMPLEX(1-$B113*$B113*$D$40*$D$40,$B113*2*$D$26*$D$40,"j"))</f>
        <v>-7.91571759569125E-011-1.97892942984359E-016j</v>
      </c>
      <c r="T113" s="111">
        <f>IMABS($S113)</f>
        <v>7.915717595715985E-11</v>
      </c>
      <c r="U113" s="111">
        <f t="shared" si="65"/>
        <v>1.583143519143197E-13</v>
      </c>
      <c r="V113" s="143">
        <f t="shared" si="66"/>
        <v>1.0000000156218745</v>
      </c>
      <c r="W113" s="144">
        <f t="shared" si="67"/>
        <v>3.9788736394548474E-07</v>
      </c>
      <c r="X113" s="22" t="str">
        <f>IMPRODUCT(IMDIV($D$28,COMPLEX(1,$B113*$D$29,"j")),$AW113)</f>
        <v>5000000000</v>
      </c>
      <c r="Y113" s="124">
        <f>IMABS($X113)</f>
        <v>5000000000</v>
      </c>
      <c r="Z113" s="111" t="str">
        <f>IMPRODUCT($S113,$X113)</f>
        <v>-0.395785879784562-9.89464714921795E-007j</v>
      </c>
      <c r="AA113" s="197">
        <f>IMABS($Z113)</f>
        <v>0.39578587978579877</v>
      </c>
      <c r="AB113" s="111">
        <f t="shared" si="68"/>
        <v>0.0007915717595715976</v>
      </c>
      <c r="AC113" s="111">
        <f t="shared" si="69"/>
        <v>5000000078.109366</v>
      </c>
      <c r="AD113" s="145">
        <f t="shared" si="70"/>
        <v>1989.4368197274214</v>
      </c>
      <c r="AE113" s="119" t="str">
        <f>IMPRODUCT($L113,$Z113)</f>
        <v>-2.53460960785325E-003-1.26652115144685E-003j</v>
      </c>
      <c r="AF113" s="141">
        <f>IMABS($AE113)</f>
        <v>0.002833429316443991</v>
      </c>
      <c r="AG113" s="111">
        <f t="shared" si="59"/>
        <v>0.997166570683556</v>
      </c>
      <c r="AH113" s="106">
        <f>IF(AND(IMREAL(AE113)&lt;0,IMAGINARY(AE113)&gt;0),180/PI()*IMARGUMENT($AE113)-360,180/PI()*IMARGUMENT($AE113))</f>
        <v>-153.4491223768173</v>
      </c>
      <c r="AI113" s="111" t="str">
        <f>IMDIV($Z113,IMSUM(1,IMPRODUCT($Z113,$L113)))</f>
        <v>-0.396790950583751-5.04813100466557E-004j</v>
      </c>
      <c r="AJ113" s="141">
        <f>IMABS($AI113)</f>
        <v>0.3967912717051915</v>
      </c>
      <c r="AK113" s="147">
        <f>180/PI()*IMARGUMENT($AI113)</f>
        <v>-179.92710608835233</v>
      </c>
      <c r="AL113" s="144">
        <f t="shared" si="71"/>
        <v>1.5787823066900136E-07</v>
      </c>
      <c r="AM113" s="146">
        <f t="shared" si="72"/>
        <v>0.000793582543410383</v>
      </c>
      <c r="AN113" s="119" t="str">
        <f>IMPRODUCT($AI113,COMPLEX(0,$B113,"j"),$D$24)</f>
        <v>2.53746740457859-1994.48885658371j</v>
      </c>
      <c r="AO113" s="142">
        <f>IMABS(AN113)</f>
        <v>1994.4904707161234</v>
      </c>
      <c r="AP113" s="132">
        <f>180/PI()*IMARGUMENT($AN113)</f>
        <v>-89.92710608835232</v>
      </c>
      <c r="AQ113" s="133">
        <f t="shared" si="73"/>
        <v>5012701288.365313</v>
      </c>
      <c r="AR113" s="133">
        <f t="shared" si="53"/>
        <v>1.5474127926927054E-12</v>
      </c>
      <c r="AS113" s="779">
        <f t="shared" si="54"/>
        <v>193871.99163447513</v>
      </c>
      <c r="AT113" s="143">
        <f t="shared" si="55"/>
        <v>2000000000</v>
      </c>
      <c r="AU113" s="120">
        <f t="shared" si="56"/>
        <v>500</v>
      </c>
      <c r="AV113" s="130">
        <f t="shared" si="57"/>
        <v>0.125</v>
      </c>
      <c r="AW113" s="582" t="str">
        <f>IF($D$10,IMDIV(COMPLEX(1,$B113/$D$49,"j"),COMPLEX(1,$B113/$D$50,"j")),COMPLEX(1,0,"j"))</f>
        <v>1</v>
      </c>
      <c r="AX113" s="149">
        <f>IMABS(AW113)</f>
        <v>1</v>
      </c>
      <c r="AY113" s="111"/>
    </row>
    <row r="114" spans="1:51" ht="15" customHeight="1">
      <c r="A114" s="358">
        <v>500000</v>
      </c>
      <c r="B114" s="130">
        <f t="shared" si="74"/>
        <v>3141592.653589793</v>
      </c>
      <c r="C114" s="119"/>
      <c r="D114" s="120"/>
      <c r="E114" s="358">
        <f t="shared" si="75"/>
        <v>2537.050059213165</v>
      </c>
      <c r="F114" s="146">
        <v>-180</v>
      </c>
      <c r="G114" s="106"/>
      <c r="H114" s="139" t="str">
        <f>IMDIV(COMPLEX(0,$D$15*$D$23*$B114,"j"),COMPLEX(1,$B114*$D$16*$D$15*$D$23,"j"))</f>
        <v>1.72413793103448E-002+6.89655172413793E-003j</v>
      </c>
      <c r="I114" s="145">
        <f t="shared" si="52"/>
        <v>1E-05</v>
      </c>
      <c r="J114" s="150" t="str">
        <f>IMDIV(IF($D$12,$D$52/$D$19,$D$53)/$D$21,COMPLEX(1,$B114*IF($D$12,$D$52,$D$53*$D$19)*$D$17,"j"))</f>
        <v>6.36619772367583E-023-2E-012j</v>
      </c>
      <c r="K114" s="140" t="str">
        <f>IMSUM(IF($D$9,$H114,0),IF($D$7,$I114,0),IF($D$8,$J114,0))</f>
        <v>1.72513793103448E-002+6.89655172213793E-003j</v>
      </c>
      <c r="L114" s="139" t="str">
        <f>IMPRODUCT($D$22,$K114)</f>
        <v>6.90055172413792E-003+2.75862068885517E-003j</v>
      </c>
      <c r="M114" s="377">
        <f>IMABS($L114)</f>
        <v>0.007431527582030668</v>
      </c>
      <c r="N114" s="141">
        <f t="shared" si="60"/>
        <v>134.56183657556306</v>
      </c>
      <c r="O114" s="498">
        <f t="shared" si="61"/>
        <v>4.283236288504932E-05</v>
      </c>
      <c r="P114" s="141">
        <f t="shared" si="62"/>
        <v>0.2691236731511261</v>
      </c>
      <c r="Q114" s="141">
        <f t="shared" si="63"/>
        <v>845476.9544786784</v>
      </c>
      <c r="R114" s="141">
        <f t="shared" si="64"/>
        <v>2656144188969.688</v>
      </c>
      <c r="S114" s="119" t="str">
        <f>IMDIV(1/$D$37,COMPLEX(1-$B114*$B114*$D$40*$D$40,$B114*2*$D$26*$D$40,"j"))</f>
        <v>-5.06605923275722E-011-1.01321185668356E-016j</v>
      </c>
      <c r="T114" s="111">
        <f>IMABS($S114)</f>
        <v>5.0660592327673514E-11</v>
      </c>
      <c r="U114" s="111">
        <f t="shared" si="65"/>
        <v>1.0132118465534704E-13</v>
      </c>
      <c r="V114" s="143">
        <f t="shared" si="66"/>
        <v>1.0000000099980004</v>
      </c>
      <c r="W114" s="144">
        <f t="shared" si="67"/>
        <v>3.183098893662531E-07</v>
      </c>
      <c r="X114" s="22" t="str">
        <f>IMPRODUCT(IMDIV($D$28,COMPLEX(1,$B114*$D$29,"j")),$AW114)</f>
        <v>5000000000</v>
      </c>
      <c r="Y114" s="124">
        <f>IMABS($X114)</f>
        <v>5000000000</v>
      </c>
      <c r="Z114" s="111" t="str">
        <f>IMPRODUCT($S114,$X114)</f>
        <v>-0.253302961637861-5.0660592834178E-007j</v>
      </c>
      <c r="AA114" s="197">
        <f>IMABS($Z114)</f>
        <v>0.2533029616383676</v>
      </c>
      <c r="AB114" s="111">
        <f t="shared" si="68"/>
        <v>0.0005066059232767352</v>
      </c>
      <c r="AC114" s="111">
        <f t="shared" si="69"/>
        <v>5000000049.990003</v>
      </c>
      <c r="AD114" s="145">
        <f t="shared" si="70"/>
        <v>1591.5494468312654</v>
      </c>
      <c r="AE114" s="119" t="str">
        <f>IMPRODUCT($L114,$Z114)</f>
        <v>-1.74792879112579E-003-6.98770286382903E-004j</v>
      </c>
      <c r="AF114" s="141">
        <f>IMABS($AE114)</f>
        <v>0.0018824279460255867</v>
      </c>
      <c r="AG114" s="111">
        <f t="shared" si="59"/>
        <v>0.9981175720539744</v>
      </c>
      <c r="AH114" s="106">
        <f>IF(AND(IMREAL(AE114)&lt;0,IMAGINARY(AE114)&gt;0),180/PI()*IMARGUMENT($AE114)-360,180/PI()*IMARGUMENT($AE114))</f>
        <v>-158.20992935685067</v>
      </c>
      <c r="AI114" s="111" t="str">
        <f>IMDIV($Z114,IMSUM(1,IMPRODUCT($Z114,$L114)))</f>
        <v>-0.253746367748871-1.78128383719262E-004j</v>
      </c>
      <c r="AJ114" s="141">
        <f>IMABS($AI114)</f>
        <v>0.25374643027137617</v>
      </c>
      <c r="AK114" s="147">
        <f>180/PI()*IMARGUMENT($AI114)</f>
        <v>-179.9597787230901</v>
      </c>
      <c r="AL114" s="144">
        <f t="shared" si="71"/>
        <v>8.076999733922493E-08</v>
      </c>
      <c r="AM114" s="146">
        <f t="shared" si="72"/>
        <v>0.0005074928605427523</v>
      </c>
      <c r="AN114" s="119" t="str">
        <f>IMPRODUCT($AI114,COMPLEX(0,$B114,"j"),$D$24)</f>
        <v>1.11921364337651-1594.33544958989j</v>
      </c>
      <c r="AO114" s="142">
        <f>IMABS(AN114)</f>
        <v>1594.3358424303758</v>
      </c>
      <c r="AP114" s="132">
        <f>180/PI()*IMARGUMENT($AN114)</f>
        <v>-89.9597787230901</v>
      </c>
      <c r="AQ114" s="133">
        <f t="shared" si="73"/>
        <v>5008753769.9341755</v>
      </c>
      <c r="AR114" s="133">
        <f t="shared" si="53"/>
        <v>9.912842308530991E-13</v>
      </c>
      <c r="AS114" s="779">
        <f t="shared" si="54"/>
        <v>302637.72050708404</v>
      </c>
      <c r="AT114" s="143">
        <f t="shared" si="55"/>
        <v>2500000000</v>
      </c>
      <c r="AU114" s="120">
        <f t="shared" si="56"/>
        <v>500</v>
      </c>
      <c r="AV114" s="130">
        <f t="shared" si="57"/>
        <v>0.10000000000000002</v>
      </c>
      <c r="AW114" s="582" t="str">
        <f>IF($D$10,IMDIV(COMPLEX(1,$B114/$D$49,"j"),COMPLEX(1,$B114/$D$50,"j")),COMPLEX(1,0,"j"))</f>
        <v>1</v>
      </c>
      <c r="AX114" s="149">
        <f>IMABS(AW114)</f>
        <v>1</v>
      </c>
      <c r="AY114" s="111"/>
    </row>
    <row r="115" spans="1:51" ht="15" customHeight="1" thickBot="1">
      <c r="A115" s="358">
        <v>600000</v>
      </c>
      <c r="B115" s="130">
        <f t="shared" si="74"/>
        <v>3769911.1843077517</v>
      </c>
      <c r="C115" s="8"/>
      <c r="D115" s="120"/>
      <c r="E115" s="359">
        <f t="shared" si="75"/>
        <v>2537.050059213165</v>
      </c>
      <c r="F115" s="174">
        <v>-300</v>
      </c>
      <c r="G115" s="106"/>
      <c r="H115" s="139" t="str">
        <f>IMDIV(COMPLEX(0,$D$15*$D$23*$B115,"j"),COMPLEX(1,$B115*$D$16*$D$15*$D$23,"j"))</f>
        <v>1.8E-002+6E-003j</v>
      </c>
      <c r="I115" s="145">
        <f t="shared" si="52"/>
        <v>1E-05</v>
      </c>
      <c r="J115" s="150" t="str">
        <f>IMDIV(IF($D$12,$D$52/$D$19,$D$53)/$D$21,COMPLEX(1,$B115*IF($D$12,$D$52,$D$53*$D$19)*$D$17,"j"))</f>
        <v>4.42097064144154E-023-1.66666666666667E-012j</v>
      </c>
      <c r="K115" s="140" t="str">
        <f>IMSUM(IF($D$9,$H115,0),IF($D$7,$I115,0),IF($D$8,$J115,0))</f>
        <v>1.801E-002+5.99999999833333E-003j</v>
      </c>
      <c r="L115" s="139" t="str">
        <f>IMPRODUCT($D$22,$K115)</f>
        <v>7.204E-003+2.39999999933333E-003j</v>
      </c>
      <c r="M115" s="377">
        <f>IMABS($L115)</f>
        <v>0.007593261222742175</v>
      </c>
      <c r="N115" s="141">
        <f t="shared" si="60"/>
        <v>131.69571948940106</v>
      </c>
      <c r="O115" s="498">
        <f t="shared" si="61"/>
        <v>3.493337456796973E-05</v>
      </c>
      <c r="P115" s="141">
        <f t="shared" si="62"/>
        <v>0.26339143897880213</v>
      </c>
      <c r="Q115" s="141">
        <f t="shared" si="63"/>
        <v>992962.3316570988</v>
      </c>
      <c r="R115" s="141">
        <f t="shared" si="64"/>
        <v>3743379799710.4</v>
      </c>
      <c r="S115" s="119" t="str">
        <f>IMDIV(1/$D$37,COMPLEX(1-$B115*$B115*$D$40*$D$40,$B115*2*$D$26*$D$40,"j"))</f>
        <v>-3.51809667866929E-011-5.86349450516753E-017j</v>
      </c>
      <c r="T115" s="111">
        <f>IMABS($S115)</f>
        <v>3.518096678674176E-11</v>
      </c>
      <c r="U115" s="111">
        <f t="shared" si="65"/>
        <v>7.036193357348352E-14</v>
      </c>
      <c r="V115" s="143">
        <f t="shared" si="66"/>
        <v>1.0000000069430544</v>
      </c>
      <c r="W115" s="144">
        <f t="shared" si="67"/>
        <v>2.652582403281946E-07</v>
      </c>
      <c r="X115" s="22" t="str">
        <f>IMPRODUCT(IMDIV($D$28,COMPLEX(1,$B115*$D$29,"j")),$AW115)</f>
        <v>5000000000</v>
      </c>
      <c r="Y115" s="124">
        <f>IMABS($X115)</f>
        <v>5000000000</v>
      </c>
      <c r="Z115" s="111" t="str">
        <f>IMPRODUCT($S115,$X115)</f>
        <v>-0.175904833933464-2.93174725258376E-007j</v>
      </c>
      <c r="AA115" s="197">
        <f>IMABS($Z115)</f>
        <v>0.17590483393370832</v>
      </c>
      <c r="AB115" s="111">
        <f t="shared" si="68"/>
        <v>0.00035180966786741666</v>
      </c>
      <c r="AC115" s="111">
        <f t="shared" si="69"/>
        <v>5000000034.715259</v>
      </c>
      <c r="AD115" s="145">
        <f t="shared" si="70"/>
        <v>1326.2912016409696</v>
      </c>
      <c r="AE115" s="119" t="str">
        <f>IMPRODUCT($L115,$Z115)</f>
        <v>-1.26721772003733E-003-4.22173713353764E-004j</v>
      </c>
      <c r="AF115" s="141">
        <f>IMABS($AE115)</f>
        <v>0.0013356913544017252</v>
      </c>
      <c r="AG115" s="111">
        <f t="shared" si="59"/>
        <v>0.9986643086455983</v>
      </c>
      <c r="AH115" s="106">
        <f>IF(AND(IMREAL(AE115)&lt;0,IMAGINARY(AE115)&gt;0),180/PI()*IMARGUMENT($AE115)-360,180/PI()*IMARGUMENT($AE115))</f>
        <v>-161.57450021311902</v>
      </c>
      <c r="AI115" s="111" t="str">
        <f>IMDIV($Z115,IMSUM(1,IMPRODUCT($Z115,$L115)))</f>
        <v>-0.176127994894425-7.47445019126896E-005j</v>
      </c>
      <c r="AJ115" s="141">
        <f>IMABS($AI115)</f>
        <v>0.17612801075431236</v>
      </c>
      <c r="AK115" s="147">
        <f>180/PI()*IMARGUMENT($AI115)</f>
        <v>-179.97568504514638</v>
      </c>
      <c r="AL115" s="144">
        <f t="shared" si="71"/>
        <v>4.671940588081886E-08</v>
      </c>
      <c r="AM115" s="146">
        <f t="shared" si="72"/>
        <v>0.00035225602150862475</v>
      </c>
      <c r="AN115" s="119" t="str">
        <f>IMPRODUCT($AI115,COMPLEX(0,$B115,"j"),$D$24)</f>
        <v>0.563560267452321-1327.97379564438j</v>
      </c>
      <c r="AO115" s="142">
        <f>IMABS(AN115)</f>
        <v>1327.9739152251136</v>
      </c>
      <c r="AP115" s="132">
        <f>180/PI()*IMARGUMENT($AN115)</f>
        <v>-89.97568504514638</v>
      </c>
      <c r="AQ115" s="133">
        <f t="shared" si="73"/>
        <v>5006343715.47612</v>
      </c>
      <c r="AR115" s="133">
        <f t="shared" si="53"/>
        <v>6.887676918361086E-13</v>
      </c>
      <c r="AS115" s="779">
        <f t="shared" si="54"/>
        <v>435560.4996515786</v>
      </c>
      <c r="AT115" s="143">
        <f t="shared" si="55"/>
        <v>3000000000.0000005</v>
      </c>
      <c r="AU115" s="120">
        <f t="shared" si="56"/>
        <v>500</v>
      </c>
      <c r="AV115" s="130">
        <f t="shared" si="57"/>
        <v>0.08333333333333334</v>
      </c>
      <c r="AW115" s="582" t="str">
        <f>IF($D$10,IMDIV(COMPLEX(1,$B115/$D$49,"j"),COMPLEX(1,$B115/$D$50,"j")),COMPLEX(1,0,"j"))</f>
        <v>1</v>
      </c>
      <c r="AX115" s="149">
        <f>IMABS(AW115)</f>
        <v>1</v>
      </c>
      <c r="AY115" s="111"/>
    </row>
    <row r="116" spans="1:51" ht="15" customHeight="1">
      <c r="A116" s="358">
        <v>700000</v>
      </c>
      <c r="B116" s="130">
        <f t="shared" si="74"/>
        <v>4398229.71502571</v>
      </c>
      <c r="C116" s="537" t="s">
        <v>389</v>
      </c>
      <c r="D116" s="127"/>
      <c r="E116" s="356">
        <f t="shared" si="75"/>
        <v>2537.050059213165</v>
      </c>
      <c r="F116" s="161">
        <f>IF($AH$120&gt;-180,$AH$120,185)</f>
        <v>-92.96025143696365</v>
      </c>
      <c r="G116" s="106"/>
      <c r="H116" s="139" t="str">
        <f>IMDIV(COMPLEX(0,$D$15*$D$23*$B116,"j"),COMPLEX(1,$B116*$D$16*$D$15*$D$23,"j"))</f>
        <v>1.84905660377359E-002+5.28301886792453E-003j</v>
      </c>
      <c r="I116" s="145">
        <f t="shared" si="52"/>
        <v>1E-05</v>
      </c>
      <c r="J116" s="150" t="str">
        <f>IMDIV(IF($D$12,$D$52/$D$19,$D$53)/$D$21,COMPLEX(1,$B116*IF($D$12,$D$52,$D$53*$D$19)*$D$17,"j"))</f>
        <v>3.2480600630999E-023-1.42857142857143E-012j</v>
      </c>
      <c r="K116" s="140" t="str">
        <f>IMSUM(IF($D$9,$H116,0),IF($D$7,$I116,0),IF($D$8,$J116,0))</f>
        <v>1.85005660377359E-002+5.28301886649596E-003j</v>
      </c>
      <c r="L116" s="139" t="str">
        <f>IMPRODUCT($D$22,$K116)</f>
        <v>7.40022641509436E-003+2.11320754659838E-003j</v>
      </c>
      <c r="M116" s="377">
        <f>IMABS($L116)</f>
        <v>0.007696037755212787</v>
      </c>
      <c r="N116" s="141">
        <f t="shared" si="60"/>
        <v>129.93699248976088</v>
      </c>
      <c r="O116" s="498">
        <f t="shared" si="61"/>
        <v>2.9543020921771326E-05</v>
      </c>
      <c r="P116" s="141">
        <f t="shared" si="62"/>
        <v>0.25987398497952174</v>
      </c>
      <c r="Q116" s="141">
        <f t="shared" si="63"/>
        <v>1142985.4828990775</v>
      </c>
      <c r="R116" s="141">
        <f t="shared" si="64"/>
        <v>5027112714729.733</v>
      </c>
      <c r="S116" s="119" t="str">
        <f>IMDIV(1/$D$37,COMPLEX(1-$B116*$B116*$D$40*$D$40,$B116*2*$D$26*$D$40,"j"))</f>
        <v>-2.58472408569071E-011-3.69246299839725E-017j</v>
      </c>
      <c r="T116" s="111">
        <f>IMABS($S116)</f>
        <v>2.5847240856933472E-11</v>
      </c>
      <c r="U116" s="111">
        <f t="shared" si="65"/>
        <v>5.1694481713866947E-14</v>
      </c>
      <c r="V116" s="143">
        <f t="shared" si="66"/>
        <v>1.0000000051010203</v>
      </c>
      <c r="W116" s="144">
        <f t="shared" si="67"/>
        <v>2.273642055767828E-07</v>
      </c>
      <c r="X116" s="22" t="str">
        <f>IMPRODUCT(IMDIV($D$28,COMPLEX(1,$B116*$D$29,"j")),$AW116)</f>
        <v>5000000000</v>
      </c>
      <c r="Y116" s="124">
        <f>IMABS($X116)</f>
        <v>5000000000</v>
      </c>
      <c r="Z116" s="111" t="str">
        <f>IMPRODUCT($S116,$X116)</f>
        <v>-0.129236204284536-1.84623149919862E-007j</v>
      </c>
      <c r="AA116" s="197">
        <f>IMABS($Z116)</f>
        <v>0.12923620428466787</v>
      </c>
      <c r="AB116" s="111">
        <f t="shared" si="68"/>
        <v>0.00025847240856933574</v>
      </c>
      <c r="AC116" s="111">
        <f t="shared" si="69"/>
        <v>5000000025.50512</v>
      </c>
      <c r="AD116" s="145">
        <f t="shared" si="70"/>
        <v>1136.8210278839183</v>
      </c>
      <c r="AE116" s="119" t="str">
        <f>IMPRODUCT($L116,$Z116)</f>
        <v>-9.56376782585921E-004-2.73104288440922E-004j</v>
      </c>
      <c r="AF116" s="141">
        <f>IMABS($AE116)</f>
        <v>0.0009946067075151967</v>
      </c>
      <c r="AG116" s="111">
        <f t="shared" si="59"/>
        <v>0.9990053932924848</v>
      </c>
      <c r="AH116" s="106">
        <f>IF(AND(IMREAL(AE116)&lt;0,IMAGINARY(AE116)&gt;0),180/PI()*IMARGUMENT($AE116)-360,180/PI()*IMARGUMENT($AE116))</f>
        <v>-164.06270327284687</v>
      </c>
      <c r="AI116" s="111" t="str">
        <f>IMDIV($Z116,IMSUM(1,IMPRODUCT($Z116,$L116)))</f>
        <v>-0.129359911392251-3.55473663793685E-005j</v>
      </c>
      <c r="AJ116" s="141">
        <f>IMABS($AI116)</f>
        <v>0.12935991627635773</v>
      </c>
      <c r="AK116" s="147">
        <f>180/PI()*IMARGUMENT($AI116)</f>
        <v>-179.98425544673648</v>
      </c>
      <c r="AL116" s="144">
        <f t="shared" si="71"/>
        <v>2.9411814447622948E-08</v>
      </c>
      <c r="AM116" s="146">
        <f t="shared" si="72"/>
        <v>0.0002587198325527155</v>
      </c>
      <c r="AN116" s="119" t="str">
        <f>IMPRODUCT($AI116,COMPLEX(0,$B116,"j"),$D$24)</f>
        <v>0.312690966201289-1137.90921243698j</v>
      </c>
      <c r="AO116" s="142">
        <f>IMABS(AN116)</f>
        <v>1137.9092553998266</v>
      </c>
      <c r="AP116" s="132">
        <f>180/PI()*IMARGUMENT($AN116)</f>
        <v>-89.9842554467365</v>
      </c>
      <c r="AQ116" s="133">
        <f t="shared" si="73"/>
        <v>5004786300.102308</v>
      </c>
      <c r="AR116" s="133">
        <f t="shared" si="53"/>
        <v>5.062058340414029E-13</v>
      </c>
      <c r="AS116" s="779">
        <f t="shared" si="54"/>
        <v>592644.2957104733</v>
      </c>
      <c r="AT116" s="143">
        <f t="shared" si="55"/>
        <v>3500000000</v>
      </c>
      <c r="AU116" s="120">
        <f t="shared" si="56"/>
        <v>500</v>
      </c>
      <c r="AV116" s="130">
        <f t="shared" si="57"/>
        <v>0.07142857142857144</v>
      </c>
      <c r="AW116" s="582" t="str">
        <f>IF($D$10,IMDIV(COMPLEX(1,$B116/$D$49,"j"),COMPLEX(1,$B116/$D$50,"j")),COMPLEX(1,0,"j"))</f>
        <v>1</v>
      </c>
      <c r="AX116" s="149">
        <f>IMABS(AW116)</f>
        <v>1</v>
      </c>
      <c r="AY116" s="111"/>
    </row>
    <row r="117" spans="1:51" ht="15" customHeight="1">
      <c r="A117" s="358">
        <v>800000</v>
      </c>
      <c r="B117" s="130">
        <f t="shared" si="74"/>
        <v>5026548.245743669</v>
      </c>
      <c r="C117" s="119"/>
      <c r="D117" s="120"/>
      <c r="E117" s="357">
        <f t="shared" si="75"/>
        <v>2537.050059213165</v>
      </c>
      <c r="F117" s="240">
        <f>IF($AH$120&gt;-180,-180,185)</f>
        <v>-180</v>
      </c>
      <c r="G117" s="106"/>
      <c r="H117" s="139" t="str">
        <f>IMDIV(COMPLEX(0,$D$15*$D$23*$B117,"j"),COMPLEX(1,$B117*$D$16*$D$15*$D$23,"j"))</f>
        <v>1.88235294117647E-002+4.70588235294118E-003j</v>
      </c>
      <c r="I117" s="145">
        <f t="shared" si="52"/>
        <v>1E-05</v>
      </c>
      <c r="J117" s="150" t="str">
        <f>IMDIV(IF($D$12,$D$52/$D$19,$D$53)/$D$21,COMPLEX(1,$B117*IF($D$12,$D$52,$D$53*$D$19)*$D$17,"j"))</f>
        <v>2.48679598581086E-023-1.25E-012j</v>
      </c>
      <c r="K117" s="140" t="str">
        <f>IMSUM(IF($D$9,$H117,0),IF($D$7,$I117,0),IF($D$8,$J117,0))</f>
        <v>1.88335294117647E-002+4.70588235169118E-003j</v>
      </c>
      <c r="L117" s="139" t="str">
        <f>IMPRODUCT($D$22,$K117)</f>
        <v>7.53341176470588E-003+1.88235294067647E-003j</v>
      </c>
      <c r="M117" s="377">
        <f>IMABS($L117)</f>
        <v>0.007765020631645631</v>
      </c>
      <c r="N117" s="141">
        <f t="shared" si="60"/>
        <v>128.7826584677176</v>
      </c>
      <c r="O117" s="498">
        <f t="shared" si="61"/>
        <v>2.5620495849565738E-05</v>
      </c>
      <c r="P117" s="141">
        <f t="shared" si="62"/>
        <v>0.2575653169354352</v>
      </c>
      <c r="Q117" s="141">
        <f t="shared" si="63"/>
        <v>1294664.4920062239</v>
      </c>
      <c r="R117" s="141">
        <f t="shared" si="64"/>
        <v>6507693531120.503</v>
      </c>
      <c r="S117" s="119" t="str">
        <f>IMDIV(1/$D$37,COMPLEX(1-$B117*$B117*$D$40*$D$40,$B117*2*$D$26*$D$40,"j"))</f>
        <v>-1.97892937574151E-011-2.47366172933963E-017j</v>
      </c>
      <c r="T117" s="111">
        <f>IMABS($S117)</f>
        <v>1.9789293757430558E-11</v>
      </c>
      <c r="U117" s="111">
        <f t="shared" si="65"/>
        <v>3.9578587514861116E-14</v>
      </c>
      <c r="V117" s="143">
        <f t="shared" si="66"/>
        <v>1.0000000039054682</v>
      </c>
      <c r="W117" s="144">
        <f t="shared" si="67"/>
        <v>1.989436796418374E-07</v>
      </c>
      <c r="X117" s="22" t="str">
        <f>IMPRODUCT(IMDIV($D$28,COMPLEX(1,$B117*$D$29,"j")),$AW117)</f>
        <v>5000000000</v>
      </c>
      <c r="Y117" s="124">
        <f>IMABS($X117)</f>
        <v>5000000000</v>
      </c>
      <c r="Z117" s="111" t="str">
        <f>IMPRODUCT($S117,$X117)</f>
        <v>-9.89464687870755E-002-1.23683086466982E-007j</v>
      </c>
      <c r="AA117" s="197">
        <f>IMABS($Z117)</f>
        <v>0.09894646878715278</v>
      </c>
      <c r="AB117" s="111">
        <f t="shared" si="68"/>
        <v>0.00019789293757430557</v>
      </c>
      <c r="AC117" s="111">
        <f t="shared" si="69"/>
        <v>5000000019.527341</v>
      </c>
      <c r="AD117" s="145">
        <f t="shared" si="70"/>
        <v>994.718398209187</v>
      </c>
      <c r="AE117" s="119" t="str">
        <f>IMPRODUCT($L117,$Z117)</f>
        <v>-7.45404259221436E-004-1.86253108246523E-004j</v>
      </c>
      <c r="AF117" s="141">
        <f>IMABS($AE117)</f>
        <v>0.0007683213715607217</v>
      </c>
      <c r="AG117" s="111">
        <f t="shared" si="59"/>
        <v>0.9992316786284393</v>
      </c>
      <c r="AH117" s="106">
        <f>IF(AND(IMREAL(AE117)&lt;0,IMAGINARY(AE117)&gt;0),180/PI()*IMARGUMENT($AE117)-360,180/PI()*IMARGUMENT($AE117))</f>
        <v>-165.97084330913341</v>
      </c>
      <c r="AI117" s="111" t="str">
        <f>IMDIV($Z117,IMSUM(1,IMPRODUCT($Z117,$L117)))</f>
        <v>-9.90202754615026E-002-1.85803670553397E-005j</v>
      </c>
      <c r="AJ117" s="141">
        <f>IMABS($AI117)</f>
        <v>0.09902027720473164</v>
      </c>
      <c r="AK117" s="147">
        <f>180/PI()*IMARGUMENT($AI117)</f>
        <v>-179.98924890284724</v>
      </c>
      <c r="AL117" s="144">
        <f t="shared" si="71"/>
        <v>1.9699458229328457E-08</v>
      </c>
      <c r="AM117" s="146">
        <f t="shared" si="72"/>
        <v>0.0001980405544094633</v>
      </c>
      <c r="AN117" s="119" t="str">
        <f>IMPRODUCT($AI117,COMPLEX(0,$B117,"j"),$D$24)</f>
        <v>0.186790222854582-995.460383828142j</v>
      </c>
      <c r="AO117" s="142">
        <f>IMABS(AN117)</f>
        <v>995.4604013529917</v>
      </c>
      <c r="AP117" s="132">
        <f>180/PI()*IMARGUMENT($AN117)</f>
        <v>-89.98924890284722</v>
      </c>
      <c r="AQ117" s="133">
        <f t="shared" si="73"/>
        <v>5003729734.128167</v>
      </c>
      <c r="AR117" s="133">
        <f t="shared" si="53"/>
        <v>3.8765147390854766E-13</v>
      </c>
      <c r="AS117" s="779">
        <f t="shared" si="54"/>
        <v>773891.034065239</v>
      </c>
      <c r="AT117" s="143">
        <f t="shared" si="55"/>
        <v>4000000000</v>
      </c>
      <c r="AU117" s="120">
        <f t="shared" si="56"/>
        <v>500</v>
      </c>
      <c r="AV117" s="130">
        <f t="shared" si="57"/>
        <v>0.0625</v>
      </c>
      <c r="AW117" s="582" t="str">
        <f>IF($D$10,IMDIV(COMPLEX(1,$B117/$D$49,"j"),COMPLEX(1,$B117/$D$50,"j")),COMPLEX(1,0,"j"))</f>
        <v>1</v>
      </c>
      <c r="AX117" s="149">
        <f>IMABS(AW117)</f>
        <v>1</v>
      </c>
      <c r="AY117" s="111"/>
    </row>
    <row r="118" spans="1:51" ht="15" customHeight="1">
      <c r="A118" s="358">
        <v>900000</v>
      </c>
      <c r="B118" s="130">
        <f t="shared" si="74"/>
        <v>5654866.776461627</v>
      </c>
      <c r="C118" s="119"/>
      <c r="D118" s="120"/>
      <c r="E118" s="358">
        <f t="shared" si="75"/>
        <v>2537.050059213165</v>
      </c>
      <c r="F118" s="146">
        <f>IF($AH$120&gt;-180,185,-180)</f>
        <v>185</v>
      </c>
      <c r="G118" s="106"/>
      <c r="H118" s="139" t="str">
        <f>IMDIV(COMPLEX(0,$D$15*$D$23*$B118,"j"),COMPLEX(1,$B118*$D$16*$D$15*$D$23,"j"))</f>
        <v>1.90588235294118E-002+4.23529411764706E-003j</v>
      </c>
      <c r="I118" s="145">
        <f t="shared" si="52"/>
        <v>1E-05</v>
      </c>
      <c r="J118" s="150" t="str">
        <f>IMDIV(IF($D$12,$D$52/$D$19,$D$53)/$D$21,COMPLEX(1,$B118*IF($D$12,$D$52,$D$53*$D$19)*$D$17,"j"))</f>
        <v>1.96487584064068E-023-1.11111111111111E-012j</v>
      </c>
      <c r="K118" s="140" t="str">
        <f>IMSUM(IF($D$9,$H118,0),IF($D$7,$I118,0),IF($D$8,$J118,0))</f>
        <v>1.90688235294118E-002+4.23529411653595E-003j</v>
      </c>
      <c r="L118" s="139" t="str">
        <f>IMPRODUCT($D$22,$K118)</f>
        <v>7.62752941176472E-003+1.69411764661438E-003j</v>
      </c>
      <c r="M118" s="377">
        <f>IMABS($L118)</f>
        <v>0.007813401277798684</v>
      </c>
      <c r="N118" s="141">
        <f t="shared" si="60"/>
        <v>127.98523516786993</v>
      </c>
      <c r="O118" s="498">
        <f t="shared" si="61"/>
        <v>2.2632758688605758E-05</v>
      </c>
      <c r="P118" s="141">
        <f t="shared" si="62"/>
        <v>0.2559704703357399</v>
      </c>
      <c r="Q118" s="141">
        <f t="shared" si="63"/>
        <v>1447478.908456832</v>
      </c>
      <c r="R118" s="141">
        <f t="shared" si="64"/>
        <v>8185300389061.48</v>
      </c>
      <c r="S118" s="119" t="str">
        <f>IMDIV(1/$D$37,COMPLEX(1-$B118*$B118*$D$40*$D$40,$B118*2*$D$26*$D$40,"j"))</f>
        <v>-1.56359851782303E-011-1.73733169183217E-017j</v>
      </c>
      <c r="T118" s="111">
        <f>IMABS($S118)</f>
        <v>1.563598517823995E-11</v>
      </c>
      <c r="U118" s="111">
        <f t="shared" si="65"/>
        <v>3.12719703564799E-14</v>
      </c>
      <c r="V118" s="143">
        <f t="shared" si="66"/>
        <v>1.0000000030858018</v>
      </c>
      <c r="W118" s="144">
        <f t="shared" si="67"/>
        <v>1.7683882620335105E-07</v>
      </c>
      <c r="X118" s="22" t="str">
        <f>IMPRODUCT(IMDIV($D$28,COMPLEX(1,$B118*$D$29,"j")),$AW118)</f>
        <v>5000000000</v>
      </c>
      <c r="Y118" s="124">
        <f>IMABS($X118)</f>
        <v>5000000000</v>
      </c>
      <c r="Z118" s="111" t="str">
        <f>IMPRODUCT($S118,$X118)</f>
        <v>-7.81799258911515E-002-8.68665845916085E-008j</v>
      </c>
      <c r="AA118" s="197">
        <f>IMABS($Z118)</f>
        <v>0.07817992589119975</v>
      </c>
      <c r="AB118" s="111">
        <f t="shared" si="68"/>
        <v>0.0001563598517823995</v>
      </c>
      <c r="AC118" s="111">
        <f t="shared" si="69"/>
        <v>5000000015.429009</v>
      </c>
      <c r="AD118" s="145">
        <f t="shared" si="70"/>
        <v>884.1941310167554</v>
      </c>
      <c r="AE118" s="119" t="str">
        <f>IMPRODUCT($L118,$Z118)</f>
        <v>-5.9631953698213E-004-1.32446654640633E-004j</v>
      </c>
      <c r="AF118" s="141">
        <f>IMABS($AE118)</f>
        <v>0.0006108511328565062</v>
      </c>
      <c r="AG118" s="111">
        <f t="shared" si="59"/>
        <v>0.9993891488671435</v>
      </c>
      <c r="AH118" s="106">
        <f>IF(AND(IMREAL(AE118)&lt;0,IMAGINARY(AE118)&gt;0),180/PI()*IMARGUMENT($AE118)-360,180/PI()*IMARGUMENT($AE118))</f>
        <v>-167.47749164824208</v>
      </c>
      <c r="AI118" s="111" t="str">
        <f>IMDIV($Z118,IMSUM(1,IMPRODUCT($Z118,$L118)))</f>
        <v>-7.82265725400778E-002-1.04539483151466E-005j</v>
      </c>
      <c r="AJ118" s="141">
        <f>IMABS($AI118)</f>
        <v>0.07822657323859386</v>
      </c>
      <c r="AK118" s="147">
        <f>180/PI()*IMARGUMENT($AI118)</f>
        <v>-179.99234317579447</v>
      </c>
      <c r="AL118" s="144">
        <f t="shared" si="71"/>
        <v>1.3833495346735989E-08</v>
      </c>
      <c r="AM118" s="146">
        <f t="shared" si="72"/>
        <v>0.00015645314647718772</v>
      </c>
      <c r="AN118" s="119" t="str">
        <f>IMPRODUCT($AI118,COMPLEX(0,$B118,"j"),$D$24)</f>
        <v>0.118231370020339-884.721692186703j</v>
      </c>
      <c r="AO118" s="142">
        <f>IMABS(AN118)</f>
        <v>884.7217000867336</v>
      </c>
      <c r="AP118" s="132">
        <f>180/PI()*IMARGUMENT($AN118)</f>
        <v>-89.99234317579447</v>
      </c>
      <c r="AQ118" s="133">
        <f t="shared" si="73"/>
        <v>5002983348.235116</v>
      </c>
      <c r="AR118" s="133">
        <f t="shared" si="53"/>
        <v>3.06340724855398E-13</v>
      </c>
      <c r="AS118" s="779">
        <f t="shared" si="54"/>
        <v>979301.7240577758</v>
      </c>
      <c r="AT118" s="143">
        <f t="shared" si="55"/>
        <v>4500000000</v>
      </c>
      <c r="AU118" s="120">
        <f t="shared" si="56"/>
        <v>500</v>
      </c>
      <c r="AV118" s="130">
        <f t="shared" si="57"/>
        <v>0.05555555555555556</v>
      </c>
      <c r="AW118" s="582" t="str">
        <f>IF($D$10,IMDIV(COMPLEX(1,$B118/$D$49,"j"),COMPLEX(1,$B118/$D$50,"j")),COMPLEX(1,0,"j"))</f>
        <v>1</v>
      </c>
      <c r="AX118" s="149">
        <f>IMABS(AW118)</f>
        <v>1</v>
      </c>
      <c r="AY118" s="111"/>
    </row>
    <row r="119" spans="1:51" ht="15" customHeight="1" thickBot="1">
      <c r="A119" s="358">
        <v>1000000</v>
      </c>
      <c r="B119" s="130">
        <f t="shared" si="74"/>
        <v>6283185.307179586</v>
      </c>
      <c r="C119" s="119"/>
      <c r="D119" s="120"/>
      <c r="E119" s="359">
        <f t="shared" si="75"/>
        <v>2537.050059213165</v>
      </c>
      <c r="F119" s="174">
        <f>IF($AH$120&gt;-180,185,$AH$120)</f>
        <v>185</v>
      </c>
      <c r="G119" s="106"/>
      <c r="H119" s="139" t="str">
        <f>IMDIV(COMPLEX(0,$D$15*$D$23*$B119,"j"),COMPLEX(1,$B119*$D$16*$D$15*$D$23,"j"))</f>
        <v>1.92307692307692E-002+3.84615384615385E-003j</v>
      </c>
      <c r="I119" s="145">
        <f t="shared" si="52"/>
        <v>1E-05</v>
      </c>
      <c r="J119" s="150" t="str">
        <f>IMDIV(IF($D$12,$D$52/$D$19,$D$53)/$D$21,COMPLEX(1,$B119*IF($D$12,$D$52,$D$53*$D$19)*$D$17,"j"))</f>
        <v>1.59154943091895E-023-9.99999999999999E-013j</v>
      </c>
      <c r="K119" s="140" t="str">
        <f>IMSUM(IF($D$9,$H119,0),IF($D$7,$I119,0),IF($D$8,$J119,0))</f>
        <v>1.92407692307692E-002+3.84615384515385E-003j</v>
      </c>
      <c r="L119" s="139" t="str">
        <f>IMPRODUCT($D$22,$K119)</f>
        <v>7.69630769230768E-003+1.53846153806154E-003j</v>
      </c>
      <c r="M119" s="377">
        <f>IMABS($L119)</f>
        <v>0.007848567767355331</v>
      </c>
      <c r="N119" s="141">
        <f t="shared" si="60"/>
        <v>127.41178131369591</v>
      </c>
      <c r="O119" s="498">
        <f t="shared" si="61"/>
        <v>2.0278214804218288E-05</v>
      </c>
      <c r="P119" s="141">
        <f t="shared" si="62"/>
        <v>0.2548235626273918</v>
      </c>
      <c r="Q119" s="141">
        <f t="shared" si="63"/>
        <v>1601103.6646235853</v>
      </c>
      <c r="R119" s="141">
        <f t="shared" si="64"/>
        <v>10060031020834.303</v>
      </c>
      <c r="S119" s="119" t="str">
        <f>IMDIV(1/$D$37,COMPLEX(1-$B119*$B119*$D$40*$D$40,$B119*2*$D$26*$D$40,"j"))</f>
        <v>-1.26651479869424E-011-1.26651480186053E-017j</v>
      </c>
      <c r="T119" s="111">
        <f>IMABS($S119)</f>
        <v>1.2665147986948733E-11</v>
      </c>
      <c r="U119" s="111">
        <f t="shared" si="65"/>
        <v>2.5330295973897468E-14</v>
      </c>
      <c r="V119" s="143">
        <f t="shared" si="66"/>
        <v>1.000000002499498</v>
      </c>
      <c r="W119" s="144">
        <f t="shared" si="67"/>
        <v>1.5915494348970278E-07</v>
      </c>
      <c r="X119" s="22" t="str">
        <f>IMPRODUCT(IMDIV($D$28,COMPLEX(1,$B119*$D$29,"j")),$AW119)</f>
        <v>5000000000</v>
      </c>
      <c r="Y119" s="124">
        <f>IMABS($X119)</f>
        <v>5000000000</v>
      </c>
      <c r="Z119" s="111" t="str">
        <f>IMPRODUCT($S119,$X119)</f>
        <v>-6.3325739934712E-002-6.33257400930265E-008j</v>
      </c>
      <c r="AA119" s="197">
        <f>IMABS($Z119)</f>
        <v>0.06332573993474366</v>
      </c>
      <c r="AB119" s="111">
        <f t="shared" si="68"/>
        <v>0.00012665147986948733</v>
      </c>
      <c r="AC119" s="111">
        <f t="shared" si="69"/>
        <v>5000000012.497489</v>
      </c>
      <c r="AD119" s="145">
        <f t="shared" si="70"/>
        <v>795.7747174485139</v>
      </c>
      <c r="AE119" s="119" t="str">
        <f>IMPRODUCT($L119,$Z119)</f>
        <v>-4.87374281956384E-004-9.74247026332227E-005j</v>
      </c>
      <c r="AF119" s="141">
        <f>IMABS($AE119)</f>
        <v>0.0004970163612957553</v>
      </c>
      <c r="AG119" s="111">
        <f t="shared" si="59"/>
        <v>0.9995029836387043</v>
      </c>
      <c r="AH119" s="106">
        <f>IF(AND(IMREAL(AE119)&lt;0,IMAGINARY(AE119)&gt;0),180/PI()*IMARGUMENT($AE119)-360,180/PI()*IMARGUMENT($AE119))</f>
        <v>-168.69573694763847</v>
      </c>
      <c r="AI119" s="111" t="str">
        <f>IMDIV($Z119,IMSUM(1,IMPRODUCT($Z119,$L119)))</f>
        <v>-6.33566177129573E-002-6.23886604348283E-006j</v>
      </c>
      <c r="AJ119" s="141">
        <f>IMABS($AI119)</f>
        <v>0.06335661802013476</v>
      </c>
      <c r="AK119" s="147">
        <f>180/PI()*IMARGUMENT($AI119)</f>
        <v>-179.9943579580952</v>
      </c>
      <c r="AL119" s="144">
        <f t="shared" si="71"/>
        <v>1.00835189354895E-08</v>
      </c>
      <c r="AM119" s="146">
        <f t="shared" si="72"/>
        <v>0.00012671323604026953</v>
      </c>
      <c r="AN119" s="119" t="str">
        <f>IMPRODUCT($AI119,COMPLEX(0,$B119,"j"),$D$24)</f>
        <v>7.8399902915746E-002-796.162739053295j</v>
      </c>
      <c r="AO119" s="142">
        <f>IMABS(AN119)</f>
        <v>796.1627429134008</v>
      </c>
      <c r="AP119" s="132">
        <f>180/PI()*IMARGUMENT($AN119)</f>
        <v>-89.9943579580952</v>
      </c>
      <c r="AQ119" s="133">
        <f t="shared" si="73"/>
        <v>5002438048.397275</v>
      </c>
      <c r="AR119" s="133">
        <f t="shared" si="53"/>
        <v>2.481642194587837E-13</v>
      </c>
      <c r="AS119" s="778">
        <f t="shared" si="54"/>
        <v>1208876.9309865213</v>
      </c>
      <c r="AT119" s="143">
        <f t="shared" si="55"/>
        <v>5000000000</v>
      </c>
      <c r="AU119" s="120">
        <f t="shared" si="56"/>
        <v>500</v>
      </c>
      <c r="AV119" s="130">
        <f t="shared" si="57"/>
        <v>0.05000000000000001</v>
      </c>
      <c r="AW119" s="582" t="str">
        <f>IF($D$10,IMDIV(COMPLEX(1,$B119/$D$49,"j"),COMPLEX(1,$B119/$D$50,"j")),COMPLEX(1,0,"j"))</f>
        <v>1</v>
      </c>
      <c r="AX119" s="149">
        <f>IMABS(AW119)</f>
        <v>1</v>
      </c>
      <c r="AY119" s="111"/>
    </row>
    <row r="120" spans="1:51" ht="15" customHeight="1" thickBot="1">
      <c r="A120" s="786">
        <f>D44</f>
        <v>2537.050059213165</v>
      </c>
      <c r="B120" s="284">
        <f>2*PI()*A120</f>
        <v>15940.755655627256</v>
      </c>
      <c r="C120" s="247" t="s">
        <v>313</v>
      </c>
      <c r="D120" s="31"/>
      <c r="E120" s="31"/>
      <c r="F120" s="283"/>
      <c r="G120" s="248"/>
      <c r="H120" s="193" t="str">
        <f>IMDIV(COMPLEX(0,$D$15*$D$23*$B120,"j"),COMPLEX(1,$B120*$D$16*$D$15*$D$23,"j"))</f>
        <v>3.2177937083517E-006+2.53664187402724E-004j</v>
      </c>
      <c r="I120" s="160">
        <f t="shared" si="52"/>
        <v>1E-05</v>
      </c>
      <c r="J120" s="267" t="str">
        <f>IMDIV(IF($D$12,$D$52/$D$19,$D$53)/$D$21,COMPLEX(1,$B120*IF($D$12,$D$52,$D$53*$D$19)*$D$17,"j"))</f>
        <v>2.47264665056295E-018-3.94158560793292E-010j</v>
      </c>
      <c r="K120" s="256" t="str">
        <f>IMSUM(IF($D$9,$H120,0),IF($D$7,$I120,0),IF($D$8,$J120,0))</f>
        <v>1.32177937083542E-005+2.53663793244163E-004j</v>
      </c>
      <c r="L120" s="193" t="str">
        <f>IMPRODUCT($D$22,$K120)</f>
        <v>5.28711748334168E-006+1.01465517297665E-004j</v>
      </c>
      <c r="M120" s="378">
        <f>IMABS($L120)</f>
        <v>0.00010160317323669282</v>
      </c>
      <c r="N120" s="162">
        <f t="shared" si="60"/>
        <v>9842.2122867208</v>
      </c>
      <c r="O120" s="499">
        <f t="shared" si="61"/>
        <v>0.617424449589778</v>
      </c>
      <c r="P120" s="155">
        <f t="shared" si="62"/>
        <v>19.6844245734416</v>
      </c>
      <c r="Q120" s="155">
        <f t="shared" si="63"/>
        <v>313784.6023468573</v>
      </c>
      <c r="R120" s="190">
        <f t="shared" si="64"/>
        <v>5001963674.509415</v>
      </c>
      <c r="S120" s="125" t="str">
        <f>IMDIV(1/$D$37,COMPLEX(1-$B120*$B120*$D$40*$D$40,$B120*2*$D$26*$D$40,"j"))</f>
        <v>-1.96843392336137E-006-7.76176551105525E-010j</v>
      </c>
      <c r="T120" s="126">
        <f>IMABS($S120)</f>
        <v>1.9684340763891164E-06</v>
      </c>
      <c r="U120" s="126">
        <f t="shared" si="65"/>
        <v>3.936868152778233E-09</v>
      </c>
      <c r="V120" s="157">
        <f t="shared" si="66"/>
        <v>1.0003884755716161</v>
      </c>
      <c r="W120" s="156">
        <f t="shared" si="67"/>
        <v>6.275665327185844E-05</v>
      </c>
      <c r="X120" s="784" t="str">
        <f>IMPRODUCT(IMDIV($D$28,COMPLEX(1,$B120*$D$29,"j")),$AW120)</f>
        <v>5000000000</v>
      </c>
      <c r="Y120" s="158">
        <v>2</v>
      </c>
      <c r="Z120" s="126" t="str">
        <f>IMPRODUCT($S120,$X120)</f>
        <v>-9842.16961680685-3.88088275552762j</v>
      </c>
      <c r="AA120" s="159">
        <f>IMABS($Z120)</f>
        <v>9842.170381945582</v>
      </c>
      <c r="AB120" s="126">
        <f t="shared" si="68"/>
        <v>19.684340763891164</v>
      </c>
      <c r="AC120" s="126">
        <f t="shared" si="69"/>
        <v>5001942377.858081</v>
      </c>
      <c r="AD120" s="160">
        <f t="shared" si="70"/>
        <v>313783.2663592922</v>
      </c>
      <c r="AE120" s="125" t="str">
        <f>IMPRODUCT($L120,$Z120)</f>
        <v>-5.16429312786726E-002-0.998661350183736j</v>
      </c>
      <c r="AF120" s="383">
        <f>IMABS($AE120)</f>
        <v>0.9999957423418644</v>
      </c>
      <c r="AG120" s="391">
        <f t="shared" si="59"/>
        <v>4.257658135609077E-06</v>
      </c>
      <c r="AH120" s="127">
        <f>IF(AND(IMREAL(AE120)&lt;0,IMAGINARY(AE120)&gt;0),180/PI()*IMARGUMENT($AE120)-360,180/PI()*IMARGUMENT($AE120))</f>
        <v>-92.96025143696365</v>
      </c>
      <c r="AI120" s="126" t="str">
        <f>IMDIV($Z120,IMSUM(1,IMPRODUCT($Z120,$L120)))</f>
        <v>-4919.06352314785-5184.0806217121j</v>
      </c>
      <c r="AJ120" s="155">
        <f>IMABS($AI120)</f>
        <v>7146.4591118381595</v>
      </c>
      <c r="AK120" s="163">
        <f>180/PI()*IMARGUMENT($AI120)</f>
        <v>-133.49741032940975</v>
      </c>
      <c r="AL120" s="156">
        <f t="shared" si="71"/>
        <v>0.44831369768317</v>
      </c>
      <c r="AM120" s="161">
        <f t="shared" si="72"/>
        <v>14.292918223676319</v>
      </c>
      <c r="AN120" s="125" t="str">
        <f>IMPRODUCT($AI120,COMPLEX(0,$B120,"j"),$D$24)</f>
        <v>165276.32497957-156827.179354018j</v>
      </c>
      <c r="AO120" s="156">
        <f>IMABS(AN120)</f>
        <v>227839.91700948664</v>
      </c>
      <c r="AP120" s="164">
        <f>180/PI()*IMARGUMENT($AN120)</f>
        <v>-43.49741032940976</v>
      </c>
      <c r="AQ120" s="165">
        <f t="shared" si="73"/>
        <v>3631940445.6466107</v>
      </c>
      <c r="AR120" s="165">
        <f t="shared" si="53"/>
        <v>1.929463189173934E-08</v>
      </c>
      <c r="AS120" s="779">
        <f t="shared" si="54"/>
        <v>15.548366078361918</v>
      </c>
      <c r="AT120" s="143">
        <f t="shared" si="55"/>
        <v>12685250.296065828</v>
      </c>
      <c r="AU120" s="120">
        <f t="shared" si="56"/>
        <v>500</v>
      </c>
      <c r="AV120" s="130">
        <f t="shared" si="57"/>
        <v>19.707928039664658</v>
      </c>
      <c r="AW120" s="581" t="str">
        <f>IF($D$10,IMDIV(COMPLEX(1,$B120/$D$49,"j"),COMPLEX(1,$B120/$D$50,"j")),COMPLEX(1,0,"j"))</f>
        <v>1</v>
      </c>
      <c r="AX120" s="148">
        <f>IMABS(AW120)</f>
        <v>1</v>
      </c>
      <c r="AY120" s="111"/>
    </row>
    <row r="121" spans="1:51" ht="15" customHeight="1">
      <c r="A121" s="666">
        <f>D38</f>
        <v>50</v>
      </c>
      <c r="B121" s="186">
        <f>SQRT($D$37/$D$24)</f>
        <v>314.1592653589793</v>
      </c>
      <c r="C121" s="249" t="s">
        <v>312</v>
      </c>
      <c r="D121" s="250"/>
      <c r="E121" s="250"/>
      <c r="F121" s="250"/>
      <c r="G121" s="251"/>
      <c r="H121" s="139" t="str">
        <f>IMDIV(COMPLEX(0,$D$15*$D$23*$B121,"j"),COMPLEX(1,$B121*$D$16*$D$15*$D$23,"j"))</f>
        <v>1.249999921875E-009+4.99999968750002E-006j</v>
      </c>
      <c r="I121" s="145">
        <f t="shared" si="52"/>
        <v>1E-05</v>
      </c>
      <c r="J121" s="150" t="str">
        <f>IMDIV(IF($D$12,$D$52/$D$19,$D$53)/$D$21,COMPLEX(1,$B121*IF($D$12,$D$52,$D$53*$D$19)*$D$17,"j"))</f>
        <v>6.36619772367518E-015-1.9999999999998E-008j</v>
      </c>
      <c r="K121" s="140" t="str">
        <f>IMSUM(IF($D$9,$H121,0),IF($D$7,$I121,0),IF($D$8,$J121,0))</f>
        <v>1.00012500062881E-005+4.97999968750002E-006j</v>
      </c>
      <c r="L121" s="139" t="str">
        <f>IMPRODUCT($D$22,$K121)</f>
        <v>4.00050000251524E-006+1.99199987500001E-006j</v>
      </c>
      <c r="M121" s="377">
        <f>IMABS($L121)</f>
        <v>4.4690114983209085E-06</v>
      </c>
      <c r="N121" s="500">
        <f t="shared" si="60"/>
        <v>223763.12980526427</v>
      </c>
      <c r="O121" s="501">
        <f t="shared" si="61"/>
        <v>712.2601638044245</v>
      </c>
      <c r="P121" s="166">
        <f t="shared" si="62"/>
        <v>447.52625961052854</v>
      </c>
      <c r="Q121" s="166">
        <f t="shared" si="63"/>
        <v>140594.5209480955</v>
      </c>
      <c r="R121" s="191">
        <f t="shared" si="64"/>
        <v>44169071.41455132</v>
      </c>
      <c r="S121" s="119" t="str">
        <f>IMDIV(1/$D$37,COMPLEX(1-$B121*$B121*$D$40*$D$40,$B121*2*$D$26*$D$40,"j"))</f>
        <v>-2.81222777404993E-015-0.253302959105844j</v>
      </c>
      <c r="T121" s="120">
        <f>IMABS($S121)</f>
        <v>0.253302959105844</v>
      </c>
      <c r="U121" s="120">
        <f t="shared" si="65"/>
        <v>0.000506605918211688</v>
      </c>
      <c r="V121" s="143">
        <f t="shared" si="66"/>
        <v>49.999999999999915</v>
      </c>
      <c r="W121" s="144">
        <f t="shared" si="67"/>
        <v>0.15915494309189507</v>
      </c>
      <c r="X121" s="22" t="str">
        <f>IMPRODUCT(IMDIV($D$28,COMPLEX(1,$B121*$D$29,"j")),$AW121)</f>
        <v>5000000000</v>
      </c>
      <c r="Y121" s="124">
        <f>IMABS($X121)</f>
        <v>5000000000</v>
      </c>
      <c r="Z121" s="120" t="str">
        <f>IMPRODUCT($S121,$X121)</f>
        <v>-1.40611388702497E-005-1266514795.52922j</v>
      </c>
      <c r="AA121" s="166">
        <f>IMABS($Z121)</f>
        <v>1266514795.52922</v>
      </c>
      <c r="AB121" s="120">
        <f t="shared" si="68"/>
        <v>2533029.59105844</v>
      </c>
      <c r="AC121" s="120">
        <f t="shared" si="69"/>
        <v>249999999999.9996</v>
      </c>
      <c r="AD121" s="145">
        <f t="shared" si="70"/>
        <v>795774715.4594754</v>
      </c>
      <c r="AE121" s="119" t="str">
        <f>IMPRODUCT($L121,$Z121)</f>
        <v>2522.89731437981-5066.69244270026j</v>
      </c>
      <c r="AF121" s="166">
        <f>IMABS($AE121)</f>
        <v>5660.069184013635</v>
      </c>
      <c r="AG121" s="166">
        <f t="shared" si="59"/>
        <v>5659.069184013635</v>
      </c>
      <c r="AH121" s="106">
        <f>IF(AND(IMREAL(AE121)&lt;0,IMAGINARY(AE121)&gt;0),180/PI()*IMARGUMENT($AE121)-360,180/PI()*IMARGUMENT($AE121))</f>
        <v>-63.52955444507807</v>
      </c>
      <c r="AI121" s="120" t="str">
        <f>IMDIV($Z121,IMSUM(1,IMPRODUCT($Z121,$L121)))</f>
        <v>200273.238447731-99763.1283873633j</v>
      </c>
      <c r="AJ121" s="166">
        <f>IMABS($AI121)</f>
        <v>223745.5068241042</v>
      </c>
      <c r="AK121" s="147">
        <f>180/PI()*IMARGUMENT($AI121)</f>
        <v>-26.479506416427856</v>
      </c>
      <c r="AL121" s="144">
        <f t="shared" si="71"/>
        <v>712.2040681131517</v>
      </c>
      <c r="AM121" s="146">
        <f t="shared" si="72"/>
        <v>447.4910136482084</v>
      </c>
      <c r="AN121" s="119" t="str">
        <f>IMPRODUCT($AI121,COMPLEX(0,$B121,"j"),$D$24)</f>
        <v>62683.0222481751+125835.386923606j</v>
      </c>
      <c r="AO121" s="144">
        <f>IMABS(AN121)</f>
        <v>140583.44810246633</v>
      </c>
      <c r="AP121" s="167">
        <f>180/PI()*IMARGUMENT($AN121)</f>
        <v>63.520493583572225</v>
      </c>
      <c r="AQ121" s="133">
        <f t="shared" si="73"/>
        <v>44165592.77750296</v>
      </c>
      <c r="AR121" s="133">
        <f t="shared" si="53"/>
        <v>8.771755032306996E-07</v>
      </c>
      <c r="AS121" s="779">
        <f t="shared" si="54"/>
        <v>0.3420068149362114</v>
      </c>
      <c r="AT121" s="143">
        <f t="shared" si="55"/>
        <v>250000.00000000006</v>
      </c>
      <c r="AU121" s="120">
        <f t="shared" si="56"/>
        <v>500</v>
      </c>
      <c r="AV121" s="130">
        <f t="shared" si="57"/>
        <v>1000.0000000000001</v>
      </c>
      <c r="AW121" s="582" t="str">
        <f>IF($D$10,IMDIV(COMPLEX(1,$B121/$D$49,"j"),COMPLEX(1,$B121/$D$50,"j")),COMPLEX(1,0,"j"))</f>
        <v>1</v>
      </c>
      <c r="AX121" s="149">
        <f>IMABS(AW121)</f>
        <v>1</v>
      </c>
      <c r="AY121" s="120"/>
    </row>
    <row r="122" spans="1:51" ht="15" customHeight="1">
      <c r="A122" s="189">
        <f>D47</f>
        <v>0.09999999999999998</v>
      </c>
      <c r="B122" s="187">
        <f>1/SQRT($D$15*$D$23*$D$21*$D$17*$D$19)</f>
        <v>19.869176531592203</v>
      </c>
      <c r="C122" s="249" t="s">
        <v>314</v>
      </c>
      <c r="D122" s="250"/>
      <c r="E122" s="250"/>
      <c r="F122" s="250"/>
      <c r="G122" s="251"/>
      <c r="H122" s="139" t="str">
        <f>IMDIV(COMPLEX(0,$D$15*$D$23*$B122,"j"),COMPLEX(1,$B122*$D$16*$D$15*$D$23,"j"))</f>
        <v>4.99999999875E-012+3.16227765937781E-007j</v>
      </c>
      <c r="I122" s="145">
        <f t="shared" si="52"/>
        <v>1E-05</v>
      </c>
      <c r="J122" s="150" t="str">
        <f>IMDIV(IF($D$12,$D$52/$D$19,$D$53)/$D$21,COMPLEX(1,$B122*IF($D$12,$D$52,$D$53*$D$19)*$D$17,"j"))</f>
        <v>1.59154943087864E-012-3.16227766008828E-007j</v>
      </c>
      <c r="K122" s="140" t="str">
        <f>IMSUM(IF($D$9,$H122,0),IF($D$7,$I122,0),IF($D$8,$J122,0))</f>
        <v>1.00000065915494E-005-7.10470060333226E-017j</v>
      </c>
      <c r="L122" s="139" t="str">
        <f>IMPRODUCT($D$22,$K122)</f>
        <v>4.00000263661976E-006-2.8418802413329E-017j</v>
      </c>
      <c r="M122" s="377">
        <f>IMABS($L122)</f>
        <v>4.00000263661976E-06</v>
      </c>
      <c r="N122" s="500">
        <f t="shared" si="60"/>
        <v>249999.8352113736</v>
      </c>
      <c r="O122" s="501">
        <f t="shared" si="61"/>
        <v>12582.294732440028</v>
      </c>
      <c r="P122" s="166">
        <f t="shared" si="62"/>
        <v>499.9996704227472</v>
      </c>
      <c r="Q122" s="166">
        <f t="shared" si="63"/>
        <v>9934.581717367484</v>
      </c>
      <c r="R122" s="191">
        <f t="shared" si="64"/>
        <v>197391.95790990297</v>
      </c>
      <c r="S122" s="119" t="str">
        <f>IMDIV(1/$D$37,COMPLEX(1-$B122*$B122*$D$40*$D$40,$B122*2*$D$26*$D$40,"j"))</f>
        <v>5.08639659758902E-003-6.45967804470369E-006j</v>
      </c>
      <c r="T122" s="120">
        <f>IMABS($S122)</f>
        <v>0.005086400699453947</v>
      </c>
      <c r="U122" s="120">
        <f t="shared" si="65"/>
        <v>1.0172801398907893E-05</v>
      </c>
      <c r="V122" s="143">
        <f t="shared" si="66"/>
        <v>0.004016061018322773</v>
      </c>
      <c r="W122" s="144">
        <f t="shared" si="67"/>
        <v>0.00020212518681572903</v>
      </c>
      <c r="X122" s="22" t="str">
        <f>IMPRODUCT(IMDIV($D$28,COMPLEX(1,$B122*$D$29,"j")),$AW122)</f>
        <v>5000000000</v>
      </c>
      <c r="Y122" s="124">
        <f>IMABS($X122)</f>
        <v>5000000000</v>
      </c>
      <c r="Z122" s="120" t="str">
        <f>IMPRODUCT($S122,$X122)</f>
        <v>25431982.9879451-32298.3902235185j</v>
      </c>
      <c r="AA122" s="166">
        <f>IMABS($Z122)</f>
        <v>25432003.49726973</v>
      </c>
      <c r="AB122" s="120">
        <f t="shared" si="68"/>
        <v>50864.006994539464</v>
      </c>
      <c r="AC122" s="120">
        <f t="shared" si="69"/>
        <v>20080305.091613866</v>
      </c>
      <c r="AD122" s="145">
        <f t="shared" si="70"/>
        <v>1010625.9340786452</v>
      </c>
      <c r="AE122" s="119" t="str">
        <f>IMPRODUCT($L122,$Z122)</f>
        <v>101.727999006248-0.129193646775394j</v>
      </c>
      <c r="AF122" s="166">
        <f>IMABS($AE122)</f>
        <v>101.72808104360153</v>
      </c>
      <c r="AG122" s="166">
        <f t="shared" si="59"/>
        <v>100.72808104360153</v>
      </c>
      <c r="AH122" s="106">
        <f>IF(AND(IMREAL(AE122)&lt;0,IMAGINARY(AE122)&gt;0),180/PI()*IMARGUMENT($AE122)-360,180/PI()*IMARGUMENT($AE122))</f>
        <v>-0.07276508722090065</v>
      </c>
      <c r="AI122" s="120" t="str">
        <f>IMDIV($Z122,IMSUM(1,IMPRODUCT($Z122,$L122)))</f>
        <v>247566.229551541-3.06056978002153j</v>
      </c>
      <c r="AJ122" s="166">
        <f>IMABS($AI122)</f>
        <v>247566.22957045934</v>
      </c>
      <c r="AK122" s="147">
        <f>180/PI()*IMARGUMENT($AI122)</f>
        <v>-0.0007083265419893427</v>
      </c>
      <c r="AL122" s="144">
        <f t="shared" si="71"/>
        <v>12459.813277959778</v>
      </c>
      <c r="AM122" s="146">
        <f t="shared" si="72"/>
        <v>495.1324591409187</v>
      </c>
      <c r="AN122" s="119" t="str">
        <f>IMPRODUCT($AI122,COMPLEX(0,$B122,"j"),$D$24)</f>
        <v>0.121622002493008+9837.87423644049j</v>
      </c>
      <c r="AO122" s="144">
        <f>IMABS(AN122)</f>
        <v>9837.874237192274</v>
      </c>
      <c r="AP122" s="167">
        <f>180/PI()*IMARGUMENT($AN122)</f>
        <v>89.999291673458</v>
      </c>
      <c r="AQ122" s="133">
        <f t="shared" si="73"/>
        <v>195470.45991437632</v>
      </c>
      <c r="AR122" s="133">
        <f t="shared" si="53"/>
        <v>9.706576653541597E-07</v>
      </c>
      <c r="AS122" s="779">
        <f t="shared" si="54"/>
        <v>0.3090688001629702</v>
      </c>
      <c r="AT122" s="143">
        <f t="shared" si="55"/>
        <v>15811.388300841896</v>
      </c>
      <c r="AU122" s="120">
        <f t="shared" si="56"/>
        <v>500</v>
      </c>
      <c r="AV122" s="130">
        <f t="shared" si="57"/>
        <v>15811.388300841898</v>
      </c>
      <c r="AW122" s="582" t="str">
        <f>IF($D$10,IMDIV(COMPLEX(1,$B122/$D$49,"j"),COMPLEX(1,$B122/$D$50,"j")),COMPLEX(1,0,"j"))</f>
        <v>1</v>
      </c>
      <c r="AX122" s="149">
        <f>IMABS(AW122)</f>
        <v>1</v>
      </c>
      <c r="AY122" s="120"/>
    </row>
    <row r="123" spans="1:51" ht="15" customHeight="1" thickBot="1">
      <c r="A123" s="138">
        <f>D45</f>
        <v>100</v>
      </c>
      <c r="B123" s="188">
        <f>$B$120</f>
        <v>15940.755655627256</v>
      </c>
      <c r="C123" s="252" t="s">
        <v>315</v>
      </c>
      <c r="D123" s="253"/>
      <c r="E123" s="253"/>
      <c r="F123" s="253"/>
      <c r="G123" s="254"/>
      <c r="H123" s="152" t="str">
        <f>IMDIV(COMPLEX(0,$D$15*$D$23*$B123,"j"),COMPLEX(1,$B123*$D$16*$D$15*$D$23,"j"))</f>
        <v>3.2177937083517E-006+2.53664187402724E-004j</v>
      </c>
      <c r="I123" s="173">
        <f t="shared" si="52"/>
        <v>1E-05</v>
      </c>
      <c r="J123" s="268" t="str">
        <f>IMDIV(IF($D$12,$D$52/$D$19,$D$53)/$D$21,COMPLEX(1,$B123*IF($D$12,$D$52,$D$53*$D$19)*$D$17,"j"))</f>
        <v>2.47264665056295E-018-3.94158560793292E-010j</v>
      </c>
      <c r="K123" s="154" t="str">
        <f>IMSUM(IF($D$9,$H123,0),IF($D$7,$I123,0),IF($D$8,$J123,0))</f>
        <v>1.32177937083542E-005+2.53663793244163E-004j</v>
      </c>
      <c r="L123" s="152" t="str">
        <f>IMPRODUCT($D$22,$K123)</f>
        <v>5.28711748334168E-006+1.01465517297665E-004j</v>
      </c>
      <c r="M123" s="379">
        <f>IMABS($L123)</f>
        <v>0.00010160317323669282</v>
      </c>
      <c r="N123" s="502">
        <f t="shared" si="60"/>
        <v>9842.2122867208</v>
      </c>
      <c r="O123" s="503">
        <f t="shared" si="61"/>
        <v>0.617424449589778</v>
      </c>
      <c r="P123" s="169">
        <f t="shared" si="62"/>
        <v>19.6844245734416</v>
      </c>
      <c r="Q123" s="169">
        <f t="shared" si="63"/>
        <v>313784.6023468573</v>
      </c>
      <c r="R123" s="192">
        <f t="shared" si="64"/>
        <v>5001963674.509415</v>
      </c>
      <c r="S123" s="123" t="str">
        <f>IMDIV(1/$D$37,COMPLEX(1-$B123*$B123*$D$40*$D$40,$B123*2*$D$26*$D$40,"j"))</f>
        <v>-1.96843392336137E-006-7.76176551105525E-010j</v>
      </c>
      <c r="T123" s="113">
        <f>IMABS($S123)</f>
        <v>1.9684340763891164E-06</v>
      </c>
      <c r="U123" s="113">
        <f t="shared" si="65"/>
        <v>3.936868152778233E-09</v>
      </c>
      <c r="V123" s="170">
        <f t="shared" si="66"/>
        <v>1.0003884755716161</v>
      </c>
      <c r="W123" s="168">
        <f t="shared" si="67"/>
        <v>6.275665327185844E-05</v>
      </c>
      <c r="X123" s="785" t="str">
        <f>IMPRODUCT(IMDIV($D$28,COMPLEX(1,$B123*$D$29,"j")),$AW123)</f>
        <v>5000000000</v>
      </c>
      <c r="Y123" s="171">
        <f>IMABS($X123)</f>
        <v>5000000000</v>
      </c>
      <c r="Z123" s="113" t="str">
        <f>IMPRODUCT($S123,$X123)</f>
        <v>-9842.16961680685-3.88088275552762j</v>
      </c>
      <c r="AA123" s="172">
        <f>IMABS($Z123)</f>
        <v>9842.170381945582</v>
      </c>
      <c r="AB123" s="113">
        <f t="shared" si="68"/>
        <v>19.684340763891164</v>
      </c>
      <c r="AC123" s="113">
        <f t="shared" si="69"/>
        <v>5001942377.858081</v>
      </c>
      <c r="AD123" s="173">
        <f t="shared" si="70"/>
        <v>313783.2663592922</v>
      </c>
      <c r="AE123" s="123" t="str">
        <f>IMPRODUCT($L123,$Z123)</f>
        <v>-5.16429312786726E-002-0.998661350183736j</v>
      </c>
      <c r="AF123" s="169">
        <f>IMABS($AE123)</f>
        <v>0.9999957423418644</v>
      </c>
      <c r="AG123" s="169">
        <f t="shared" si="59"/>
        <v>4.257658135609077E-06</v>
      </c>
      <c r="AH123" s="114">
        <f>IF(AND(IMREAL(AE123)&lt;0,IMAGINARY(AE123)&gt;0),180/PI()*IMARGUMENT($AE123)-360,180/PI()*IMARGUMENT($AE123))</f>
        <v>-92.96025143696365</v>
      </c>
      <c r="AI123" s="113" t="str">
        <f>IMDIV($Z123,IMSUM(1,IMPRODUCT($Z123,$L123)))</f>
        <v>-4919.06352314785-5184.0806217121j</v>
      </c>
      <c r="AJ123" s="169">
        <f>IMABS($AI123)</f>
        <v>7146.4591118381595</v>
      </c>
      <c r="AK123" s="175">
        <f>180/PI()*IMARGUMENT($AI123)</f>
        <v>-133.49741032940975</v>
      </c>
      <c r="AL123" s="168">
        <f t="shared" si="71"/>
        <v>0.44831369768317</v>
      </c>
      <c r="AM123" s="174">
        <f t="shared" si="72"/>
        <v>14.292918223676319</v>
      </c>
      <c r="AN123" s="123" t="str">
        <f>IMPRODUCT($AI123,COMPLEX(0,$B123,"j"),$D$24)</f>
        <v>165276.32497957-156827.179354018j</v>
      </c>
      <c r="AO123" s="168">
        <f>IMABS(AN123)</f>
        <v>227839.91700948664</v>
      </c>
      <c r="AP123" s="176">
        <f>180/PI()*IMARGUMENT($AN123)</f>
        <v>-43.49741032940976</v>
      </c>
      <c r="AQ123" s="177">
        <f t="shared" si="73"/>
        <v>3631940445.6466107</v>
      </c>
      <c r="AR123" s="177">
        <f t="shared" si="53"/>
        <v>1.929463189173934E-08</v>
      </c>
      <c r="AS123" s="778">
        <f t="shared" si="54"/>
        <v>15.548366078361918</v>
      </c>
      <c r="AT123" s="170">
        <f t="shared" si="55"/>
        <v>12685250.296065828</v>
      </c>
      <c r="AU123" s="113">
        <f t="shared" si="56"/>
        <v>500</v>
      </c>
      <c r="AV123" s="695">
        <f t="shared" si="57"/>
        <v>19.707928039664658</v>
      </c>
      <c r="AW123" s="583" t="str">
        <f>IF($D$10,IMDIV(COMPLEX(1,$B123/$D$49,"j"),COMPLEX(1,$B123/$D$50,"j")),COMPLEX(1,0,"j"))</f>
        <v>1</v>
      </c>
      <c r="AX123" s="178">
        <f>IMABS(AW123)</f>
        <v>1</v>
      </c>
      <c r="AY123" s="120"/>
    </row>
    <row r="124" spans="1:51" ht="15" customHeight="1" thickBot="1">
      <c r="A124" s="382">
        <f>COUNTIF(A7:A123,"&lt;=0")+COUNTIF(A7:A123,"")+COUNTIF(H7:AF123,"&lt;=0")+COUNTIF(H7:AF123,"")+COUNTIF(AI7:AJ123,"&lt;=0")+COUNTIF(AI7:AJ123,"")+COUNTIF(AM7:AO123,"&lt;=0")+COUNTIF(AM7:AO123,"")+COUNTIF(AQ7:AX123,"&lt;=0")+COUNTIF(AQ7:AX123,"")</f>
        <v>0</v>
      </c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5"/>
      <c r="AN124" s="375"/>
      <c r="AO124" s="375"/>
      <c r="AP124" s="375"/>
      <c r="AQ124" s="375"/>
      <c r="AR124" s="375"/>
      <c r="AS124" s="375"/>
      <c r="AT124" s="375"/>
      <c r="AU124" s="375"/>
      <c r="AV124" s="375"/>
      <c r="AW124" s="375"/>
      <c r="AX124" s="375"/>
      <c r="AY124" s="120"/>
    </row>
    <row r="125" spans="1:49" ht="13.5" thickBot="1">
      <c r="A125" s="111"/>
      <c r="B125" s="111"/>
      <c r="C125" s="643" t="s">
        <v>615</v>
      </c>
      <c r="D125" s="644"/>
      <c r="E125" s="644"/>
      <c r="F125" s="629"/>
      <c r="G125" s="643" t="s">
        <v>804</v>
      </c>
      <c r="H125" s="735"/>
      <c r="I125" s="735"/>
      <c r="J125" s="736"/>
      <c r="K125" s="643" t="s">
        <v>658</v>
      </c>
      <c r="L125" s="735"/>
      <c r="M125" s="735"/>
      <c r="N125" s="736"/>
      <c r="O125" s="643" t="s">
        <v>676</v>
      </c>
      <c r="P125" s="735"/>
      <c r="Q125" s="735"/>
      <c r="R125" s="736"/>
      <c r="S125" s="643" t="s">
        <v>613</v>
      </c>
      <c r="T125" s="735"/>
      <c r="U125" s="735"/>
      <c r="V125" s="736"/>
      <c r="W125" s="643" t="s">
        <v>758</v>
      </c>
      <c r="X125" s="735"/>
      <c r="Y125" s="735"/>
      <c r="Z125" s="736"/>
      <c r="AA125" s="643" t="s">
        <v>614</v>
      </c>
      <c r="AB125" s="735"/>
      <c r="AC125" s="735"/>
      <c r="AD125" s="736"/>
      <c r="AE125" s="643" t="s">
        <v>641</v>
      </c>
      <c r="AF125" s="735"/>
      <c r="AG125" s="735"/>
      <c r="AH125" s="736"/>
      <c r="AI125" s="739" t="s">
        <v>677</v>
      </c>
      <c r="AJ125" s="740"/>
      <c r="AK125" s="740"/>
      <c r="AL125" s="741"/>
      <c r="AM125" s="643" t="s">
        <v>675</v>
      </c>
      <c r="AN125" s="644"/>
      <c r="AO125" s="644"/>
      <c r="AP125" s="629"/>
      <c r="AQ125" s="643"/>
      <c r="AR125" s="644"/>
      <c r="AS125" s="644"/>
      <c r="AT125" s="644"/>
      <c r="AU125" s="629"/>
      <c r="AV125" s="641"/>
      <c r="AW125" s="642"/>
    </row>
    <row r="126" spans="1:49" ht="12.75">
      <c r="A126" s="111"/>
      <c r="B126" s="111"/>
      <c r="C126" s="434"/>
      <c r="D126" s="319"/>
      <c r="E126" s="319"/>
      <c r="F126" s="447"/>
      <c r="G126" s="448"/>
      <c r="H126" s="194"/>
      <c r="I126" s="194"/>
      <c r="J126" s="390"/>
      <c r="K126" s="448"/>
      <c r="L126" s="194"/>
      <c r="M126" s="194"/>
      <c r="N126" s="390"/>
      <c r="O126" s="463"/>
      <c r="P126" s="126"/>
      <c r="Q126" s="126"/>
      <c r="R126" s="447"/>
      <c r="S126" s="509"/>
      <c r="T126" s="389"/>
      <c r="U126" s="389"/>
      <c r="V126" s="510"/>
      <c r="W126" s="463"/>
      <c r="X126" s="126"/>
      <c r="Y126" s="126"/>
      <c r="Z126" s="447"/>
      <c r="AA126" s="507"/>
      <c r="AB126" s="387"/>
      <c r="AC126" s="389"/>
      <c r="AD126" s="508"/>
      <c r="AE126" s="463"/>
      <c r="AF126" s="126"/>
      <c r="AG126" s="126"/>
      <c r="AH126" s="447"/>
      <c r="AI126" s="435"/>
      <c r="AJ126" s="122"/>
      <c r="AK126" s="122"/>
      <c r="AL126" s="546"/>
      <c r="AM126" s="463"/>
      <c r="AN126" s="126"/>
      <c r="AO126" s="126"/>
      <c r="AP126" s="447"/>
      <c r="AQ126" s="434"/>
      <c r="AR126" s="319"/>
      <c r="AS126" s="319"/>
      <c r="AT126" s="319"/>
      <c r="AU126" s="447"/>
      <c r="AV126" s="696"/>
      <c r="AW126" s="651"/>
    </row>
    <row r="127" spans="1:49" ht="12.75">
      <c r="A127" s="111"/>
      <c r="B127" s="111"/>
      <c r="C127" s="435"/>
      <c r="D127" s="386" t="b">
        <v>1</v>
      </c>
      <c r="E127" s="241" t="s">
        <v>364</v>
      </c>
      <c r="F127" s="297"/>
      <c r="G127" s="448"/>
      <c r="H127" s="386" t="b">
        <v>1</v>
      </c>
      <c r="I127" s="241" t="s">
        <v>364</v>
      </c>
      <c r="J127" s="297"/>
      <c r="K127" s="448"/>
      <c r="L127" s="386" t="b">
        <v>1</v>
      </c>
      <c r="M127" s="241" t="s">
        <v>364</v>
      </c>
      <c r="N127" s="297"/>
      <c r="O127" s="435"/>
      <c r="P127" s="386" t="b">
        <v>1</v>
      </c>
      <c r="Q127" s="241" t="s">
        <v>364</v>
      </c>
      <c r="R127" s="297"/>
      <c r="S127" s="509"/>
      <c r="T127" s="511" t="b">
        <v>1</v>
      </c>
      <c r="U127" s="241" t="s">
        <v>364</v>
      </c>
      <c r="V127" s="512"/>
      <c r="W127" s="435"/>
      <c r="X127" s="386" t="b">
        <v>1</v>
      </c>
      <c r="Y127" s="241" t="s">
        <v>364</v>
      </c>
      <c r="Z127" s="297"/>
      <c r="AA127" s="509"/>
      <c r="AB127" s="511" t="b">
        <v>1</v>
      </c>
      <c r="AC127" s="241" t="s">
        <v>364</v>
      </c>
      <c r="AD127" s="512"/>
      <c r="AE127" s="435"/>
      <c r="AF127" s="386" t="b">
        <v>1</v>
      </c>
      <c r="AG127" s="241" t="s">
        <v>364</v>
      </c>
      <c r="AH127" s="297"/>
      <c r="AI127" s="435"/>
      <c r="AJ127" s="548" t="b">
        <v>1</v>
      </c>
      <c r="AK127" s="241" t="s">
        <v>364</v>
      </c>
      <c r="AL127" s="297"/>
      <c r="AM127" s="435"/>
      <c r="AN127" s="386" t="b">
        <v>1</v>
      </c>
      <c r="AO127" s="241" t="s">
        <v>364</v>
      </c>
      <c r="AP127" s="297"/>
      <c r="AQ127" s="435"/>
      <c r="AR127" s="386"/>
      <c r="AS127" s="386"/>
      <c r="AT127" s="241"/>
      <c r="AU127" s="297"/>
      <c r="AV127" s="696"/>
      <c r="AW127" s="122"/>
    </row>
    <row r="128" spans="1:49" ht="12.75">
      <c r="A128" s="111"/>
      <c r="B128" s="111"/>
      <c r="C128" s="435"/>
      <c r="D128" s="386" t="b">
        <v>1</v>
      </c>
      <c r="E128" s="241" t="s">
        <v>365</v>
      </c>
      <c r="F128" s="297"/>
      <c r="G128" s="448"/>
      <c r="H128" s="386" t="b">
        <v>1</v>
      </c>
      <c r="I128" s="241" t="s">
        <v>365</v>
      </c>
      <c r="J128" s="297"/>
      <c r="K128" s="448"/>
      <c r="L128" s="386" t="b">
        <v>1</v>
      </c>
      <c r="M128" s="241" t="s">
        <v>365</v>
      </c>
      <c r="N128" s="297"/>
      <c r="O128" s="435"/>
      <c r="P128" s="386" t="b">
        <v>1</v>
      </c>
      <c r="Q128" s="241" t="s">
        <v>365</v>
      </c>
      <c r="R128" s="297"/>
      <c r="S128" s="509"/>
      <c r="T128" s="511" t="b">
        <v>1</v>
      </c>
      <c r="U128" s="241" t="s">
        <v>365</v>
      </c>
      <c r="V128" s="512"/>
      <c r="W128" s="435"/>
      <c r="X128" s="386" t="b">
        <v>1</v>
      </c>
      <c r="Y128" s="241" t="s">
        <v>365</v>
      </c>
      <c r="Z128" s="297"/>
      <c r="AA128" s="509"/>
      <c r="AB128" s="511" t="b">
        <v>1</v>
      </c>
      <c r="AC128" s="241" t="s">
        <v>365</v>
      </c>
      <c r="AD128" s="512"/>
      <c r="AE128" s="435"/>
      <c r="AF128" s="386" t="b">
        <v>1</v>
      </c>
      <c r="AG128" s="241" t="s">
        <v>365</v>
      </c>
      <c r="AH128" s="297"/>
      <c r="AI128" s="435"/>
      <c r="AJ128" s="548" t="b">
        <v>1</v>
      </c>
      <c r="AK128" s="241" t="s">
        <v>365</v>
      </c>
      <c r="AL128" s="297"/>
      <c r="AM128" s="435"/>
      <c r="AN128" s="386" t="b">
        <v>1</v>
      </c>
      <c r="AO128" s="241" t="s">
        <v>365</v>
      </c>
      <c r="AP128" s="297"/>
      <c r="AQ128" s="435"/>
      <c r="AR128" s="386"/>
      <c r="AS128" s="386"/>
      <c r="AT128" s="241"/>
      <c r="AU128" s="297"/>
      <c r="AV128" s="696"/>
      <c r="AW128" s="122"/>
    </row>
    <row r="129" spans="1:49" ht="12.75">
      <c r="A129" s="111"/>
      <c r="B129" s="111"/>
      <c r="C129" s="435"/>
      <c r="D129" s="386" t="b">
        <v>1</v>
      </c>
      <c r="E129" s="241" t="s">
        <v>366</v>
      </c>
      <c r="F129" s="297"/>
      <c r="G129" s="448"/>
      <c r="H129" s="386" t="b">
        <v>1</v>
      </c>
      <c r="I129" s="241" t="s">
        <v>366</v>
      </c>
      <c r="J129" s="297"/>
      <c r="K129" s="448"/>
      <c r="L129" s="386" t="b">
        <v>1</v>
      </c>
      <c r="M129" s="241" t="s">
        <v>366</v>
      </c>
      <c r="N129" s="297"/>
      <c r="O129" s="435"/>
      <c r="P129" s="386" t="b">
        <v>1</v>
      </c>
      <c r="Q129" s="241" t="s">
        <v>366</v>
      </c>
      <c r="R129" s="297"/>
      <c r="S129" s="509"/>
      <c r="T129" s="511" t="b">
        <v>1</v>
      </c>
      <c r="U129" s="241" t="s">
        <v>366</v>
      </c>
      <c r="V129" s="512"/>
      <c r="W129" s="435"/>
      <c r="X129" s="386" t="b">
        <v>1</v>
      </c>
      <c r="Y129" s="241" t="s">
        <v>366</v>
      </c>
      <c r="Z129" s="297"/>
      <c r="AA129" s="509"/>
      <c r="AB129" s="511" t="b">
        <v>1</v>
      </c>
      <c r="AC129" s="241" t="s">
        <v>366</v>
      </c>
      <c r="AD129" s="512"/>
      <c r="AE129" s="435"/>
      <c r="AF129" s="386" t="b">
        <v>1</v>
      </c>
      <c r="AG129" s="241" t="s">
        <v>366</v>
      </c>
      <c r="AH129" s="297"/>
      <c r="AI129" s="435"/>
      <c r="AJ129" s="548" t="b">
        <v>1</v>
      </c>
      <c r="AK129" s="241" t="s">
        <v>366</v>
      </c>
      <c r="AL129" s="297"/>
      <c r="AM129" s="435"/>
      <c r="AN129" s="386" t="b">
        <v>1</v>
      </c>
      <c r="AO129" s="241" t="s">
        <v>366</v>
      </c>
      <c r="AP129" s="297"/>
      <c r="AQ129" s="435"/>
      <c r="AR129" s="386"/>
      <c r="AS129" s="386"/>
      <c r="AT129" s="241"/>
      <c r="AU129" s="297"/>
      <c r="AV129" s="696"/>
      <c r="AW129" s="122"/>
    </row>
    <row r="130" spans="1:49" ht="12.75">
      <c r="A130" s="111"/>
      <c r="B130" s="111"/>
      <c r="C130" s="435"/>
      <c r="D130" s="450" t="b">
        <v>1</v>
      </c>
      <c r="E130" s="241" t="s">
        <v>367</v>
      </c>
      <c r="F130" s="297"/>
      <c r="G130" s="448"/>
      <c r="H130" s="450" t="b">
        <v>0</v>
      </c>
      <c r="I130" s="241" t="s">
        <v>367</v>
      </c>
      <c r="J130" s="297"/>
      <c r="K130" s="448"/>
      <c r="L130" s="450" t="b">
        <v>0</v>
      </c>
      <c r="M130" s="241" t="s">
        <v>367</v>
      </c>
      <c r="N130" s="297"/>
      <c r="O130" s="435"/>
      <c r="P130" s="450" t="b">
        <v>1</v>
      </c>
      <c r="Q130" s="241" t="s">
        <v>367</v>
      </c>
      <c r="R130" s="297"/>
      <c r="S130" s="509"/>
      <c r="T130" s="450" t="b">
        <v>0</v>
      </c>
      <c r="U130" s="241" t="s">
        <v>367</v>
      </c>
      <c r="V130" s="512"/>
      <c r="W130" s="435"/>
      <c r="X130" s="450" t="b">
        <v>1</v>
      </c>
      <c r="Y130" s="241" t="s">
        <v>367</v>
      </c>
      <c r="Z130" s="297"/>
      <c r="AA130" s="509"/>
      <c r="AB130" s="450" t="b">
        <v>0</v>
      </c>
      <c r="AC130" s="241" t="s">
        <v>367</v>
      </c>
      <c r="AD130" s="512"/>
      <c r="AE130" s="435"/>
      <c r="AF130" s="450" t="b">
        <v>1</v>
      </c>
      <c r="AG130" s="241" t="s">
        <v>367</v>
      </c>
      <c r="AH130" s="297"/>
      <c r="AI130" s="435"/>
      <c r="AJ130" s="549" t="b">
        <v>1</v>
      </c>
      <c r="AK130" s="241" t="s">
        <v>367</v>
      </c>
      <c r="AL130" s="297"/>
      <c r="AM130" s="435"/>
      <c r="AN130" s="450" t="b">
        <v>1</v>
      </c>
      <c r="AO130" s="241" t="s">
        <v>367</v>
      </c>
      <c r="AP130" s="297"/>
      <c r="AQ130" s="435"/>
      <c r="AR130" s="450"/>
      <c r="AS130" s="450"/>
      <c r="AT130" s="241"/>
      <c r="AU130" s="297"/>
      <c r="AV130" s="696"/>
      <c r="AW130" s="122"/>
    </row>
    <row r="131" spans="1:49" ht="12.75">
      <c r="A131" s="111"/>
      <c r="B131" s="111"/>
      <c r="C131" s="435"/>
      <c r="D131" s="451" t="b">
        <v>1</v>
      </c>
      <c r="E131" s="241" t="s">
        <v>377</v>
      </c>
      <c r="F131" s="297"/>
      <c r="G131" s="448"/>
      <c r="H131" s="688" t="b">
        <v>0</v>
      </c>
      <c r="I131" s="689" t="s">
        <v>377</v>
      </c>
      <c r="J131" s="690"/>
      <c r="K131" s="448"/>
      <c r="L131" s="451" t="b">
        <v>0</v>
      </c>
      <c r="M131" s="241" t="s">
        <v>377</v>
      </c>
      <c r="N131" s="297"/>
      <c r="O131" s="435"/>
      <c r="P131" s="451" t="b">
        <v>0</v>
      </c>
      <c r="Q131" s="241" t="s">
        <v>377</v>
      </c>
      <c r="R131" s="297"/>
      <c r="S131" s="509"/>
      <c r="T131" s="451" t="b">
        <v>0</v>
      </c>
      <c r="U131" s="241" t="s">
        <v>377</v>
      </c>
      <c r="V131" s="512"/>
      <c r="W131" s="435"/>
      <c r="X131" s="451" t="b">
        <v>0</v>
      </c>
      <c r="Y131" s="241" t="s">
        <v>377</v>
      </c>
      <c r="Z131" s="297"/>
      <c r="AA131" s="509"/>
      <c r="AB131" s="451" t="b">
        <v>0</v>
      </c>
      <c r="AC131" s="241" t="s">
        <v>377</v>
      </c>
      <c r="AD131" s="512"/>
      <c r="AE131" s="435"/>
      <c r="AF131" s="451" t="b">
        <v>0</v>
      </c>
      <c r="AG131" s="241" t="s">
        <v>377</v>
      </c>
      <c r="AH131" s="297"/>
      <c r="AI131" s="435"/>
      <c r="AJ131" s="550" t="b">
        <v>0</v>
      </c>
      <c r="AK131" s="241" t="s">
        <v>377</v>
      </c>
      <c r="AL131" s="297"/>
      <c r="AM131" s="435"/>
      <c r="AN131" s="451" t="b">
        <v>0</v>
      </c>
      <c r="AO131" s="241" t="s">
        <v>377</v>
      </c>
      <c r="AP131" s="297"/>
      <c r="AQ131" s="435"/>
      <c r="AR131" s="451"/>
      <c r="AS131" s="451"/>
      <c r="AT131" s="241"/>
      <c r="AU131" s="297"/>
      <c r="AV131" s="696"/>
      <c r="AW131" s="122"/>
    </row>
    <row r="132" spans="1:49" ht="13.5" thickBot="1">
      <c r="A132" s="120"/>
      <c r="B132" s="120"/>
      <c r="C132" s="435"/>
      <c r="D132" s="451" t="b">
        <v>1</v>
      </c>
      <c r="E132" s="241" t="s">
        <v>535</v>
      </c>
      <c r="F132" s="297"/>
      <c r="G132" s="448"/>
      <c r="H132" s="451" t="b">
        <v>1</v>
      </c>
      <c r="I132" s="241" t="s">
        <v>535</v>
      </c>
      <c r="J132" s="297"/>
      <c r="K132" s="448"/>
      <c r="L132" s="451" t="b">
        <v>1</v>
      </c>
      <c r="M132" s="241" t="s">
        <v>535</v>
      </c>
      <c r="N132" s="297"/>
      <c r="O132" s="435"/>
      <c r="P132" s="451" t="b">
        <v>1</v>
      </c>
      <c r="Q132" s="241" t="s">
        <v>535</v>
      </c>
      <c r="R132" s="297"/>
      <c r="S132" s="509"/>
      <c r="T132" s="451" t="b">
        <v>1</v>
      </c>
      <c r="U132" s="241" t="s">
        <v>535</v>
      </c>
      <c r="V132" s="512"/>
      <c r="W132" s="435"/>
      <c r="X132" s="451" t="b">
        <v>1</v>
      </c>
      <c r="Y132" s="241" t="s">
        <v>535</v>
      </c>
      <c r="Z132" s="297"/>
      <c r="AA132" s="509"/>
      <c r="AB132" s="451" t="b">
        <v>0</v>
      </c>
      <c r="AC132" s="241" t="s">
        <v>535</v>
      </c>
      <c r="AD132" s="512"/>
      <c r="AE132" s="435"/>
      <c r="AF132" s="451" t="b">
        <v>1</v>
      </c>
      <c r="AG132" s="241" t="s">
        <v>535</v>
      </c>
      <c r="AH132" s="297"/>
      <c r="AI132" s="435"/>
      <c r="AJ132" s="550" t="b">
        <v>1</v>
      </c>
      <c r="AK132" s="539" t="s">
        <v>535</v>
      </c>
      <c r="AL132" s="540"/>
      <c r="AM132" s="435"/>
      <c r="AN132" s="451" t="b">
        <v>1</v>
      </c>
      <c r="AO132" s="241" t="s">
        <v>535</v>
      </c>
      <c r="AP132" s="297"/>
      <c r="AQ132" s="435"/>
      <c r="AR132" s="451"/>
      <c r="AS132" s="451"/>
      <c r="AT132" s="241"/>
      <c r="AU132" s="297"/>
      <c r="AV132" s="696"/>
      <c r="AW132" s="122"/>
    </row>
    <row r="133" spans="1:49" ht="13.5" thickBot="1">
      <c r="A133" s="120"/>
      <c r="B133" s="120"/>
      <c r="C133" s="466"/>
      <c r="D133" s="121"/>
      <c r="E133" s="121"/>
      <c r="F133" s="307"/>
      <c r="G133" s="462"/>
      <c r="H133" s="121"/>
      <c r="I133" s="259"/>
      <c r="J133" s="376"/>
      <c r="K133" s="462"/>
      <c r="L133" s="121"/>
      <c r="M133" s="259"/>
      <c r="N133" s="376"/>
      <c r="O133" s="466"/>
      <c r="P133" s="121"/>
      <c r="Q133" s="121"/>
      <c r="R133" s="307"/>
      <c r="S133" s="513"/>
      <c r="T133" s="514"/>
      <c r="U133" s="514"/>
      <c r="V133" s="515"/>
      <c r="W133" s="466"/>
      <c r="X133" s="121"/>
      <c r="Y133" s="121"/>
      <c r="Z133" s="307"/>
      <c r="AA133" s="513"/>
      <c r="AB133" s="514"/>
      <c r="AC133" s="514"/>
      <c r="AD133" s="515"/>
      <c r="AE133" s="466"/>
      <c r="AF133" s="121"/>
      <c r="AG133" s="121"/>
      <c r="AH133" s="307"/>
      <c r="AI133" s="466"/>
      <c r="AJ133" s="563"/>
      <c r="AK133" s="120"/>
      <c r="AL133" s="297"/>
      <c r="AM133" s="466"/>
      <c r="AN133" s="121"/>
      <c r="AO133" s="121"/>
      <c r="AP133" s="307"/>
      <c r="AQ133" s="466"/>
      <c r="AR133" s="121"/>
      <c r="AS133" s="121"/>
      <c r="AT133" s="121"/>
      <c r="AU133" s="307"/>
      <c r="AV133" s="696"/>
      <c r="AW133" s="651"/>
    </row>
    <row r="134" spans="1:49" ht="13.5" thickBot="1">
      <c r="A134" s="120"/>
      <c r="B134" s="120"/>
      <c r="C134" s="468"/>
      <c r="D134" s="115" t="s">
        <v>421</v>
      </c>
      <c r="E134" s="116"/>
      <c r="F134" s="469" t="s">
        <v>656</v>
      </c>
      <c r="G134" s="468"/>
      <c r="H134" s="115" t="s">
        <v>421</v>
      </c>
      <c r="I134" s="116"/>
      <c r="J134" s="469" t="s">
        <v>656</v>
      </c>
      <c r="K134" s="468"/>
      <c r="L134" s="115" t="s">
        <v>421</v>
      </c>
      <c r="M134" s="116"/>
      <c r="N134" s="469" t="s">
        <v>656</v>
      </c>
      <c r="O134" s="468"/>
      <c r="P134" s="115" t="s">
        <v>421</v>
      </c>
      <c r="Q134" s="116"/>
      <c r="R134" s="469" t="s">
        <v>656</v>
      </c>
      <c r="S134" s="468"/>
      <c r="T134" s="115" t="s">
        <v>421</v>
      </c>
      <c r="U134" s="116"/>
      <c r="V134" s="469" t="s">
        <v>656</v>
      </c>
      <c r="W134" s="468"/>
      <c r="X134" s="115" t="s">
        <v>421</v>
      </c>
      <c r="Y134" s="116"/>
      <c r="Z134" s="469" t="s">
        <v>656</v>
      </c>
      <c r="AA134" s="468"/>
      <c r="AB134" s="115" t="s">
        <v>421</v>
      </c>
      <c r="AC134" s="116"/>
      <c r="AD134" s="469" t="s">
        <v>656</v>
      </c>
      <c r="AE134" s="468"/>
      <c r="AF134" s="115" t="s">
        <v>421</v>
      </c>
      <c r="AG134" s="116"/>
      <c r="AH134" s="469" t="s">
        <v>656</v>
      </c>
      <c r="AI134" s="435"/>
      <c r="AJ134" s="115" t="s">
        <v>421</v>
      </c>
      <c r="AK134" s="541"/>
      <c r="AL134" s="544" t="s">
        <v>656</v>
      </c>
      <c r="AM134" s="468"/>
      <c r="AN134" s="115" t="s">
        <v>421</v>
      </c>
      <c r="AO134" s="116"/>
      <c r="AP134" s="469" t="s">
        <v>656</v>
      </c>
      <c r="AQ134" s="468"/>
      <c r="AR134" s="115"/>
      <c r="AS134" s="115"/>
      <c r="AT134" s="116"/>
      <c r="AU134" s="469"/>
      <c r="AV134" s="697"/>
      <c r="AW134" s="698"/>
    </row>
    <row r="135" spans="1:49" ht="15">
      <c r="A135" s="111"/>
      <c r="B135" s="269"/>
      <c r="C135" s="436" t="s">
        <v>44</v>
      </c>
      <c r="D135" s="452">
        <v>8E-06</v>
      </c>
      <c r="E135" s="273" t="s">
        <v>110</v>
      </c>
      <c r="F135" s="298">
        <v>8E-06</v>
      </c>
      <c r="G135" s="436" t="s">
        <v>44</v>
      </c>
      <c r="H135" s="452">
        <v>1.5915494309189533E-09</v>
      </c>
      <c r="I135" s="273" t="s">
        <v>110</v>
      </c>
      <c r="J135" s="335">
        <v>1.5915494309189533E-09</v>
      </c>
      <c r="K135" s="436" t="s">
        <v>44</v>
      </c>
      <c r="L135" s="452">
        <v>1.24E-05</v>
      </c>
      <c r="M135" s="273" t="s">
        <v>110</v>
      </c>
      <c r="N135" s="335">
        <v>1.24E-05</v>
      </c>
      <c r="O135" s="436" t="s">
        <v>44</v>
      </c>
      <c r="P135" s="528">
        <v>3E-05</v>
      </c>
      <c r="Q135" s="273" t="s">
        <v>110</v>
      </c>
      <c r="R135" s="529">
        <v>3E-05</v>
      </c>
      <c r="S135" s="436" t="s">
        <v>44</v>
      </c>
      <c r="T135" s="452">
        <v>1.35E-05</v>
      </c>
      <c r="U135" s="273" t="s">
        <v>110</v>
      </c>
      <c r="V135" s="335">
        <v>1.35E-05</v>
      </c>
      <c r="W135" s="436" t="s">
        <v>44</v>
      </c>
      <c r="X135" s="528">
        <v>4E-05</v>
      </c>
      <c r="Y135" s="273" t="s">
        <v>110</v>
      </c>
      <c r="Z135" s="529">
        <v>2E-05</v>
      </c>
      <c r="AA135" s="436" t="s">
        <v>44</v>
      </c>
      <c r="AB135" s="452">
        <v>2.41E-05</v>
      </c>
      <c r="AC135" s="273" t="s">
        <v>110</v>
      </c>
      <c r="AD135" s="310">
        <v>2.41E-05</v>
      </c>
      <c r="AE135" s="436" t="s">
        <v>44</v>
      </c>
      <c r="AF135" s="528">
        <v>5E-05</v>
      </c>
      <c r="AG135" s="273" t="s">
        <v>110</v>
      </c>
      <c r="AH135" s="529">
        <v>5E-05</v>
      </c>
      <c r="AI135" s="436" t="s">
        <v>44</v>
      </c>
      <c r="AJ135" s="551">
        <v>1.5E-05</v>
      </c>
      <c r="AK135" s="273" t="s">
        <v>110</v>
      </c>
      <c r="AL135" s="335">
        <v>1.5E-05</v>
      </c>
      <c r="AM135" s="436" t="s">
        <v>44</v>
      </c>
      <c r="AN135" s="452">
        <v>3E-05</v>
      </c>
      <c r="AO135" s="273" t="s">
        <v>110</v>
      </c>
      <c r="AP135" s="298">
        <v>3E-05</v>
      </c>
      <c r="AQ135" s="436"/>
      <c r="AR135" s="452"/>
      <c r="AS135" s="452"/>
      <c r="AT135" s="273"/>
      <c r="AU135" s="298"/>
      <c r="AV135" s="699"/>
      <c r="AW135" s="700"/>
    </row>
    <row r="136" spans="1:49" ht="15">
      <c r="A136" s="111"/>
      <c r="B136" s="270"/>
      <c r="C136" s="437" t="s">
        <v>51</v>
      </c>
      <c r="D136" s="457">
        <v>200</v>
      </c>
      <c r="E136" s="131" t="s">
        <v>57</v>
      </c>
      <c r="F136" s="299">
        <v>200</v>
      </c>
      <c r="G136" s="437" t="s">
        <v>51</v>
      </c>
      <c r="H136" s="457">
        <v>50</v>
      </c>
      <c r="I136" s="131" t="s">
        <v>57</v>
      </c>
      <c r="J136" s="311">
        <v>50</v>
      </c>
      <c r="K136" s="437" t="s">
        <v>51</v>
      </c>
      <c r="L136" s="457">
        <v>0</v>
      </c>
      <c r="M136" s="131" t="s">
        <v>57</v>
      </c>
      <c r="N136" s="311">
        <v>0</v>
      </c>
      <c r="O136" s="437" t="s">
        <v>51</v>
      </c>
      <c r="P136" s="457">
        <v>50</v>
      </c>
      <c r="Q136" s="131" t="s">
        <v>57</v>
      </c>
      <c r="R136" s="299">
        <v>50</v>
      </c>
      <c r="S136" s="437" t="s">
        <v>51</v>
      </c>
      <c r="T136" s="457">
        <v>67</v>
      </c>
      <c r="U136" s="131" t="s">
        <v>57</v>
      </c>
      <c r="V136" s="311">
        <v>67</v>
      </c>
      <c r="W136" s="437" t="s">
        <v>51</v>
      </c>
      <c r="X136" s="457">
        <v>55</v>
      </c>
      <c r="Y136" s="131" t="s">
        <v>57</v>
      </c>
      <c r="Z136" s="299">
        <v>55</v>
      </c>
      <c r="AA136" s="437" t="s">
        <v>51</v>
      </c>
      <c r="AB136" s="493">
        <v>8</v>
      </c>
      <c r="AC136" s="131" t="s">
        <v>57</v>
      </c>
      <c r="AD136" s="311">
        <v>8</v>
      </c>
      <c r="AE136" s="437" t="s">
        <v>51</v>
      </c>
      <c r="AF136" s="457">
        <v>75</v>
      </c>
      <c r="AG136" s="131" t="s">
        <v>57</v>
      </c>
      <c r="AH136" s="299">
        <v>75</v>
      </c>
      <c r="AI136" s="437" t="s">
        <v>51</v>
      </c>
      <c r="AJ136" s="552">
        <v>63</v>
      </c>
      <c r="AK136" s="131" t="s">
        <v>57</v>
      </c>
      <c r="AL136" s="311">
        <v>63</v>
      </c>
      <c r="AM136" s="437" t="s">
        <v>51</v>
      </c>
      <c r="AN136" s="457">
        <v>50</v>
      </c>
      <c r="AO136" s="131" t="s">
        <v>57</v>
      </c>
      <c r="AP136" s="299">
        <v>50</v>
      </c>
      <c r="AQ136" s="437"/>
      <c r="AR136" s="457"/>
      <c r="AS136" s="457"/>
      <c r="AT136" s="131"/>
      <c r="AU136" s="299"/>
      <c r="AV136" s="701"/>
      <c r="AW136" s="470"/>
    </row>
    <row r="137" spans="1:49" ht="15">
      <c r="A137" s="111"/>
      <c r="B137" s="272"/>
      <c r="C137" s="438" t="s">
        <v>321</v>
      </c>
      <c r="D137" s="453">
        <v>2E-06</v>
      </c>
      <c r="E137" s="106" t="s">
        <v>110</v>
      </c>
      <c r="F137" s="314">
        <v>2E-06</v>
      </c>
      <c r="G137" s="438" t="s">
        <v>321</v>
      </c>
      <c r="H137" s="454">
        <v>4.4E-06</v>
      </c>
      <c r="I137" s="106" t="s">
        <v>110</v>
      </c>
      <c r="J137" s="610">
        <v>4.4E-06</v>
      </c>
      <c r="K137" s="438" t="s">
        <v>321</v>
      </c>
      <c r="L137" s="454">
        <v>4.4E-05</v>
      </c>
      <c r="M137" s="106" t="s">
        <v>110</v>
      </c>
      <c r="N137" s="312">
        <v>4.4E-05</v>
      </c>
      <c r="O137" s="438" t="s">
        <v>321</v>
      </c>
      <c r="P137" s="453">
        <v>3E-05</v>
      </c>
      <c r="Q137" s="106" t="s">
        <v>110</v>
      </c>
      <c r="R137" s="314">
        <v>3E-05</v>
      </c>
      <c r="S137" s="438" t="s">
        <v>321</v>
      </c>
      <c r="T137" s="453">
        <v>4.4E-05</v>
      </c>
      <c r="U137" s="516" t="s">
        <v>110</v>
      </c>
      <c r="V137" s="314">
        <v>4.4E-05</v>
      </c>
      <c r="W137" s="438" t="s">
        <v>321</v>
      </c>
      <c r="X137" s="453">
        <v>3E-05</v>
      </c>
      <c r="Y137" s="106" t="s">
        <v>110</v>
      </c>
      <c r="Z137" s="314">
        <v>3E-05</v>
      </c>
      <c r="AA137" s="438" t="s">
        <v>321</v>
      </c>
      <c r="AB137" s="453">
        <v>4.02E-05</v>
      </c>
      <c r="AC137" s="516" t="s">
        <v>110</v>
      </c>
      <c r="AD137" s="314">
        <v>4.02E-05</v>
      </c>
      <c r="AE137" s="438" t="s">
        <v>321</v>
      </c>
      <c r="AF137" s="453">
        <v>4.4E-05</v>
      </c>
      <c r="AG137" s="106" t="s">
        <v>110</v>
      </c>
      <c r="AH137" s="314">
        <v>4.4E-05</v>
      </c>
      <c r="AI137" s="438" t="s">
        <v>321</v>
      </c>
      <c r="AJ137" s="553">
        <v>1E-05</v>
      </c>
      <c r="AK137" s="516" t="s">
        <v>110</v>
      </c>
      <c r="AL137" s="312">
        <v>1E-05</v>
      </c>
      <c r="AM137" s="438" t="s">
        <v>321</v>
      </c>
      <c r="AN137" s="453">
        <v>3E-05</v>
      </c>
      <c r="AO137" s="106" t="s">
        <v>110</v>
      </c>
      <c r="AP137" s="314">
        <v>3E-05</v>
      </c>
      <c r="AQ137" s="438"/>
      <c r="AR137" s="453"/>
      <c r="AS137" s="453"/>
      <c r="AT137" s="106"/>
      <c r="AU137" s="314"/>
      <c r="AV137" s="702"/>
      <c r="AW137" s="703"/>
    </row>
    <row r="138" spans="1:49" ht="18">
      <c r="A138" s="111"/>
      <c r="B138" s="313"/>
      <c r="C138" s="439" t="s">
        <v>511</v>
      </c>
      <c r="D138" s="454">
        <v>200000</v>
      </c>
      <c r="E138" s="106" t="s">
        <v>46</v>
      </c>
      <c r="F138" s="300">
        <v>200000</v>
      </c>
      <c r="G138" s="439" t="s">
        <v>511</v>
      </c>
      <c r="H138" s="453">
        <v>10000</v>
      </c>
      <c r="I138" s="106" t="s">
        <v>46</v>
      </c>
      <c r="J138" s="611">
        <v>10000</v>
      </c>
      <c r="K138" s="439" t="s">
        <v>511</v>
      </c>
      <c r="L138" s="453">
        <v>1000</v>
      </c>
      <c r="M138" s="106" t="s">
        <v>46</v>
      </c>
      <c r="N138" s="314">
        <v>1000</v>
      </c>
      <c r="O138" s="439" t="s">
        <v>511</v>
      </c>
      <c r="P138" s="454">
        <v>10000</v>
      </c>
      <c r="Q138" s="106" t="s">
        <v>46</v>
      </c>
      <c r="R138" s="300">
        <v>10000</v>
      </c>
      <c r="S138" s="439" t="s">
        <v>511</v>
      </c>
      <c r="T138" s="453">
        <v>1000</v>
      </c>
      <c r="U138" s="516" t="s">
        <v>46</v>
      </c>
      <c r="V138" s="314">
        <v>1000</v>
      </c>
      <c r="W138" s="439" t="s">
        <v>511</v>
      </c>
      <c r="X138" s="454">
        <v>200000</v>
      </c>
      <c r="Y138" s="106" t="s">
        <v>46</v>
      </c>
      <c r="Z138" s="300">
        <v>200000</v>
      </c>
      <c r="AA138" s="439" t="s">
        <v>511</v>
      </c>
      <c r="AB138" s="493">
        <v>500</v>
      </c>
      <c r="AC138" s="516" t="s">
        <v>46</v>
      </c>
      <c r="AD138" s="314">
        <v>500</v>
      </c>
      <c r="AE138" s="439" t="s">
        <v>511</v>
      </c>
      <c r="AF138" s="454">
        <v>200000</v>
      </c>
      <c r="AG138" s="106" t="s">
        <v>46</v>
      </c>
      <c r="AH138" s="300">
        <v>200000</v>
      </c>
      <c r="AI138" s="439" t="s">
        <v>511</v>
      </c>
      <c r="AJ138" s="554">
        <v>1000</v>
      </c>
      <c r="AK138" s="516" t="s">
        <v>46</v>
      </c>
      <c r="AL138" s="314">
        <v>1000</v>
      </c>
      <c r="AM138" s="439" t="s">
        <v>511</v>
      </c>
      <c r="AN138" s="454">
        <v>10000</v>
      </c>
      <c r="AO138" s="106" t="s">
        <v>46</v>
      </c>
      <c r="AP138" s="300">
        <v>10000</v>
      </c>
      <c r="AQ138" s="439"/>
      <c r="AR138" s="454"/>
      <c r="AS138" s="454"/>
      <c r="AT138" s="106"/>
      <c r="AU138" s="300"/>
      <c r="AV138" s="704"/>
      <c r="AW138" s="705"/>
    </row>
    <row r="139" spans="1:49" ht="15">
      <c r="A139" s="111"/>
      <c r="B139" s="272"/>
      <c r="C139" s="438" t="s">
        <v>331</v>
      </c>
      <c r="D139" s="453">
        <v>38000000</v>
      </c>
      <c r="E139" s="106" t="s">
        <v>57</v>
      </c>
      <c r="F139" s="301">
        <v>38000000</v>
      </c>
      <c r="G139" s="438" t="s">
        <v>331</v>
      </c>
      <c r="H139" s="455">
        <v>4700000</v>
      </c>
      <c r="I139" s="106" t="s">
        <v>57</v>
      </c>
      <c r="J139" s="612">
        <v>4700000</v>
      </c>
      <c r="K139" s="438" t="s">
        <v>331</v>
      </c>
      <c r="L139" s="455">
        <v>4700000</v>
      </c>
      <c r="M139" s="106" t="s">
        <v>57</v>
      </c>
      <c r="N139" s="336">
        <v>4700000</v>
      </c>
      <c r="O139" s="438" t="s">
        <v>331</v>
      </c>
      <c r="P139" s="453">
        <v>10000000</v>
      </c>
      <c r="Q139" s="106" t="s">
        <v>57</v>
      </c>
      <c r="R139" s="301">
        <v>10000000</v>
      </c>
      <c r="S139" s="438" t="s">
        <v>331</v>
      </c>
      <c r="T139" s="455">
        <v>4700000</v>
      </c>
      <c r="U139" s="516" t="s">
        <v>57</v>
      </c>
      <c r="V139" s="336">
        <v>4700000</v>
      </c>
      <c r="W139" s="438" t="s">
        <v>331</v>
      </c>
      <c r="X139" s="453">
        <v>20000000</v>
      </c>
      <c r="Y139" s="106" t="s">
        <v>57</v>
      </c>
      <c r="Z139" s="301">
        <v>20000000</v>
      </c>
      <c r="AA139" s="438" t="s">
        <v>331</v>
      </c>
      <c r="AB139" s="453">
        <v>2000000</v>
      </c>
      <c r="AC139" s="516" t="s">
        <v>57</v>
      </c>
      <c r="AD139" s="314">
        <v>2000000</v>
      </c>
      <c r="AE139" s="438" t="s">
        <v>331</v>
      </c>
      <c r="AF139" s="453">
        <v>10000000</v>
      </c>
      <c r="AG139" s="106" t="s">
        <v>57</v>
      </c>
      <c r="AH139" s="301">
        <v>10000000</v>
      </c>
      <c r="AI139" s="438" t="s">
        <v>331</v>
      </c>
      <c r="AJ139" s="555">
        <v>10000000</v>
      </c>
      <c r="AK139" s="516" t="s">
        <v>57</v>
      </c>
      <c r="AL139" s="336">
        <v>10000000</v>
      </c>
      <c r="AM139" s="438" t="s">
        <v>331</v>
      </c>
      <c r="AN139" s="453">
        <v>20000000</v>
      </c>
      <c r="AO139" s="106" t="s">
        <v>57</v>
      </c>
      <c r="AP139" s="301">
        <v>20000000</v>
      </c>
      <c r="AQ139" s="438"/>
      <c r="AR139" s="453"/>
      <c r="AS139" s="453"/>
      <c r="AT139" s="106"/>
      <c r="AU139" s="301"/>
      <c r="AV139" s="702"/>
      <c r="AW139" s="700"/>
    </row>
    <row r="140" spans="1:49" ht="15">
      <c r="A140" s="111"/>
      <c r="B140" s="270"/>
      <c r="C140" s="437" t="s">
        <v>47</v>
      </c>
      <c r="D140" s="453">
        <v>1700000</v>
      </c>
      <c r="E140" s="131" t="s">
        <v>57</v>
      </c>
      <c r="F140" s="301">
        <v>1700000</v>
      </c>
      <c r="G140" s="437" t="s">
        <v>47</v>
      </c>
      <c r="H140" s="455">
        <v>1000000</v>
      </c>
      <c r="I140" s="131" t="s">
        <v>57</v>
      </c>
      <c r="J140" s="612">
        <v>1000000</v>
      </c>
      <c r="K140" s="437" t="s">
        <v>47</v>
      </c>
      <c r="L140" s="455">
        <v>1000000</v>
      </c>
      <c r="M140" s="131" t="s">
        <v>57</v>
      </c>
      <c r="N140" s="336">
        <v>1000000</v>
      </c>
      <c r="O140" s="437" t="s">
        <v>47</v>
      </c>
      <c r="P140" s="456">
        <v>187337.46832864956</v>
      </c>
      <c r="Q140" s="131" t="s">
        <v>57</v>
      </c>
      <c r="R140" s="302">
        <v>187337.46832864956</v>
      </c>
      <c r="S140" s="437" t="s">
        <v>47</v>
      </c>
      <c r="T140" s="455">
        <v>1000000</v>
      </c>
      <c r="U140" s="131" t="s">
        <v>57</v>
      </c>
      <c r="V140" s="336">
        <v>1000000</v>
      </c>
      <c r="W140" s="437" t="s">
        <v>47</v>
      </c>
      <c r="X140" s="456">
        <v>281351.624657801</v>
      </c>
      <c r="Y140" s="131" t="s">
        <v>57</v>
      </c>
      <c r="Z140" s="302">
        <v>563000</v>
      </c>
      <c r="AA140" s="437" t="s">
        <v>47</v>
      </c>
      <c r="AB140" s="493">
        <v>400000</v>
      </c>
      <c r="AC140" s="131" t="s">
        <v>57</v>
      </c>
      <c r="AD140" s="314">
        <v>400000</v>
      </c>
      <c r="AE140" s="437" t="s">
        <v>47</v>
      </c>
      <c r="AF140" s="456">
        <v>200000</v>
      </c>
      <c r="AG140" s="131" t="s">
        <v>57</v>
      </c>
      <c r="AH140" s="302">
        <v>200000</v>
      </c>
      <c r="AI140" s="437" t="s">
        <v>47</v>
      </c>
      <c r="AJ140" s="556">
        <v>1000000</v>
      </c>
      <c r="AK140" s="131" t="s">
        <v>57</v>
      </c>
      <c r="AL140" s="315">
        <v>1000000</v>
      </c>
      <c r="AM140" s="437" t="s">
        <v>47</v>
      </c>
      <c r="AN140" s="453">
        <v>180000</v>
      </c>
      <c r="AO140" s="131" t="s">
        <v>57</v>
      </c>
      <c r="AP140" s="301">
        <v>180000</v>
      </c>
      <c r="AQ140" s="437"/>
      <c r="AR140" s="453"/>
      <c r="AS140" s="453"/>
      <c r="AT140" s="131"/>
      <c r="AU140" s="301"/>
      <c r="AV140" s="701"/>
      <c r="AW140" s="700"/>
    </row>
    <row r="141" spans="1:49" ht="15">
      <c r="A141" s="111"/>
      <c r="B141" s="269"/>
      <c r="C141" s="440" t="s">
        <v>49</v>
      </c>
      <c r="D141" s="456">
        <v>600000</v>
      </c>
      <c r="E141" s="131" t="s">
        <v>57</v>
      </c>
      <c r="F141" s="302">
        <v>600000</v>
      </c>
      <c r="G141" s="440" t="s">
        <v>49</v>
      </c>
      <c r="H141" s="456">
        <v>7696.080420304417</v>
      </c>
      <c r="I141" s="131" t="s">
        <v>57</v>
      </c>
      <c r="J141" s="613">
        <v>7696.080420304417</v>
      </c>
      <c r="K141" s="440" t="s">
        <v>49</v>
      </c>
      <c r="L141" s="456">
        <v>8000</v>
      </c>
      <c r="M141" s="131" t="s">
        <v>57</v>
      </c>
      <c r="N141" s="315">
        <v>8000</v>
      </c>
      <c r="O141" s="440" t="s">
        <v>49</v>
      </c>
      <c r="P141" s="456">
        <v>8206</v>
      </c>
      <c r="Q141" s="131" t="s">
        <v>57</v>
      </c>
      <c r="R141" s="302">
        <v>8206</v>
      </c>
      <c r="S141" s="440" t="s">
        <v>49</v>
      </c>
      <c r="T141" s="456">
        <v>62000</v>
      </c>
      <c r="U141" s="131" t="s">
        <v>57</v>
      </c>
      <c r="V141" s="315">
        <v>62000</v>
      </c>
      <c r="W141" s="440" t="s">
        <v>49</v>
      </c>
      <c r="X141" s="456">
        <v>16665</v>
      </c>
      <c r="Y141" s="131" t="s">
        <v>57</v>
      </c>
      <c r="Z141" s="302">
        <v>31663</v>
      </c>
      <c r="AA141" s="440" t="s">
        <v>49</v>
      </c>
      <c r="AB141" s="453">
        <v>107000</v>
      </c>
      <c r="AC141" s="131" t="s">
        <v>57</v>
      </c>
      <c r="AD141" s="315">
        <v>107000</v>
      </c>
      <c r="AE141" s="440" t="s">
        <v>49</v>
      </c>
      <c r="AF141" s="456">
        <v>10000</v>
      </c>
      <c r="AG141" s="131" t="s">
        <v>57</v>
      </c>
      <c r="AH141" s="302">
        <v>10000</v>
      </c>
      <c r="AI141" s="440" t="s">
        <v>49</v>
      </c>
      <c r="AJ141" s="556">
        <v>130000</v>
      </c>
      <c r="AK141" s="131" t="s">
        <v>57</v>
      </c>
      <c r="AL141" s="315">
        <v>130000</v>
      </c>
      <c r="AM141" s="440" t="s">
        <v>49</v>
      </c>
      <c r="AN141" s="456">
        <v>3600</v>
      </c>
      <c r="AO141" s="131" t="s">
        <v>57</v>
      </c>
      <c r="AP141" s="302">
        <v>3600</v>
      </c>
      <c r="AQ141" s="440"/>
      <c r="AR141" s="456"/>
      <c r="AS141" s="456"/>
      <c r="AT141" s="131"/>
      <c r="AU141" s="302"/>
      <c r="AV141" s="699"/>
      <c r="AW141" s="472"/>
    </row>
    <row r="142" spans="1:49" ht="15">
      <c r="A142" s="111"/>
      <c r="B142" s="270"/>
      <c r="C142" s="437" t="s">
        <v>332</v>
      </c>
      <c r="D142" s="457">
        <v>50</v>
      </c>
      <c r="E142" s="274" t="s">
        <v>30</v>
      </c>
      <c r="F142" s="299">
        <v>50</v>
      </c>
      <c r="G142" s="437" t="s">
        <v>332</v>
      </c>
      <c r="H142" s="457">
        <v>0.4</v>
      </c>
      <c r="I142" s="274" t="s">
        <v>30</v>
      </c>
      <c r="J142" s="614">
        <v>0.4</v>
      </c>
      <c r="K142" s="437" t="s">
        <v>332</v>
      </c>
      <c r="L142" s="457">
        <v>9.5</v>
      </c>
      <c r="M142" s="274" t="s">
        <v>30</v>
      </c>
      <c r="N142" s="311">
        <v>9.5</v>
      </c>
      <c r="O142" s="437" t="s">
        <v>332</v>
      </c>
      <c r="P142" s="457">
        <v>15.55</v>
      </c>
      <c r="Q142" s="274" t="s">
        <v>30</v>
      </c>
      <c r="R142" s="299">
        <v>15.55</v>
      </c>
      <c r="S142" s="437" t="s">
        <v>332</v>
      </c>
      <c r="T142" s="457">
        <v>9.526</v>
      </c>
      <c r="U142" s="274" t="s">
        <v>30</v>
      </c>
      <c r="V142" s="311">
        <v>9.526</v>
      </c>
      <c r="W142" s="437" t="s">
        <v>332</v>
      </c>
      <c r="X142" s="457">
        <v>20</v>
      </c>
      <c r="Y142" s="274" t="s">
        <v>30</v>
      </c>
      <c r="Z142" s="299">
        <v>38</v>
      </c>
      <c r="AA142" s="437" t="s">
        <v>332</v>
      </c>
      <c r="AB142" s="493">
        <v>12.653</v>
      </c>
      <c r="AC142" s="274" t="s">
        <v>30</v>
      </c>
      <c r="AD142" s="311">
        <v>12.653</v>
      </c>
      <c r="AE142" s="437" t="s">
        <v>332</v>
      </c>
      <c r="AF142" s="457">
        <v>4</v>
      </c>
      <c r="AG142" s="274" t="s">
        <v>30</v>
      </c>
      <c r="AH142" s="299">
        <v>4</v>
      </c>
      <c r="AI142" s="437" t="s">
        <v>332</v>
      </c>
      <c r="AJ142" s="552">
        <v>3.3</v>
      </c>
      <c r="AK142" s="274" t="s">
        <v>30</v>
      </c>
      <c r="AL142" s="311">
        <v>3.3</v>
      </c>
      <c r="AM142" s="437" t="s">
        <v>332</v>
      </c>
      <c r="AN142" s="457">
        <v>15</v>
      </c>
      <c r="AO142" s="274" t="s">
        <v>30</v>
      </c>
      <c r="AP142" s="299">
        <v>15</v>
      </c>
      <c r="AQ142" s="437"/>
      <c r="AR142" s="457"/>
      <c r="AS142" s="457"/>
      <c r="AT142" s="274"/>
      <c r="AU142" s="299"/>
      <c r="AV142" s="701"/>
      <c r="AW142" s="470"/>
    </row>
    <row r="143" spans="1:49" ht="15">
      <c r="A143" s="111"/>
      <c r="B143" s="272"/>
      <c r="C143" s="464" t="s">
        <v>631</v>
      </c>
      <c r="D143" s="486">
        <v>1</v>
      </c>
      <c r="E143" s="366" t="s">
        <v>584</v>
      </c>
      <c r="F143" s="367">
        <v>1</v>
      </c>
      <c r="G143" s="464" t="s">
        <v>631</v>
      </c>
      <c r="H143" s="486">
        <v>10</v>
      </c>
      <c r="I143" s="366" t="s">
        <v>584</v>
      </c>
      <c r="J143" s="615">
        <v>10</v>
      </c>
      <c r="K143" s="464" t="s">
        <v>631</v>
      </c>
      <c r="L143" s="486">
        <v>1</v>
      </c>
      <c r="M143" s="366" t="s">
        <v>584</v>
      </c>
      <c r="N143" s="365">
        <v>1</v>
      </c>
      <c r="O143" s="464" t="s">
        <v>631</v>
      </c>
      <c r="P143" s="526">
        <v>0.8574</v>
      </c>
      <c r="Q143" s="366" t="s">
        <v>584</v>
      </c>
      <c r="R143" s="527">
        <v>0.8574</v>
      </c>
      <c r="S143" s="464" t="s">
        <v>631</v>
      </c>
      <c r="T143" s="486">
        <v>1</v>
      </c>
      <c r="U143" s="517" t="s">
        <v>584</v>
      </c>
      <c r="V143" s="368">
        <v>1</v>
      </c>
      <c r="W143" s="464" t="s">
        <v>631</v>
      </c>
      <c r="X143" s="526">
        <v>0.633333</v>
      </c>
      <c r="Y143" s="366" t="s">
        <v>584</v>
      </c>
      <c r="Z143" s="527">
        <v>0.667</v>
      </c>
      <c r="AA143" s="464" t="s">
        <v>631</v>
      </c>
      <c r="AB143" s="486">
        <v>1</v>
      </c>
      <c r="AC143" s="517" t="s">
        <v>584</v>
      </c>
      <c r="AD143" s="368">
        <v>1</v>
      </c>
      <c r="AE143" s="464" t="s">
        <v>631</v>
      </c>
      <c r="AF143" s="526">
        <v>1</v>
      </c>
      <c r="AG143" s="366" t="s">
        <v>584</v>
      </c>
      <c r="AH143" s="527">
        <v>1</v>
      </c>
      <c r="AI143" s="464" t="s">
        <v>631</v>
      </c>
      <c r="AJ143" s="557">
        <v>1</v>
      </c>
      <c r="AK143" s="517" t="s">
        <v>584</v>
      </c>
      <c r="AL143" s="365">
        <v>1</v>
      </c>
      <c r="AM143" s="464" t="s">
        <v>631</v>
      </c>
      <c r="AN143" s="486">
        <v>1</v>
      </c>
      <c r="AO143" s="366" t="s">
        <v>584</v>
      </c>
      <c r="AP143" s="367">
        <v>1</v>
      </c>
      <c r="AQ143" s="464"/>
      <c r="AR143" s="486"/>
      <c r="AS143" s="486"/>
      <c r="AT143" s="366"/>
      <c r="AU143" s="367"/>
      <c r="AV143" s="706"/>
      <c r="AW143" s="707"/>
    </row>
    <row r="144" spans="1:49" ht="15">
      <c r="A144" s="111"/>
      <c r="B144" s="270"/>
      <c r="C144" s="441" t="s">
        <v>422</v>
      </c>
      <c r="D144" s="487">
        <v>0.3</v>
      </c>
      <c r="E144" s="369" t="s">
        <v>50</v>
      </c>
      <c r="F144" s="370">
        <v>0.3</v>
      </c>
      <c r="G144" s="441" t="s">
        <v>422</v>
      </c>
      <c r="H144" s="607">
        <v>0.002</v>
      </c>
      <c r="I144" s="372" t="s">
        <v>50</v>
      </c>
      <c r="J144" s="616">
        <v>0.002</v>
      </c>
      <c r="K144" s="441" t="s">
        <v>422</v>
      </c>
      <c r="L144" s="458">
        <v>1.6</v>
      </c>
      <c r="M144" s="372" t="s">
        <v>50</v>
      </c>
      <c r="N144" s="373">
        <v>1.6</v>
      </c>
      <c r="O144" s="441" t="s">
        <v>422</v>
      </c>
      <c r="P144" s="487">
        <v>0.15</v>
      </c>
      <c r="Q144" s="369" t="s">
        <v>50</v>
      </c>
      <c r="R144" s="370">
        <v>0.15</v>
      </c>
      <c r="S144" s="441" t="s">
        <v>422</v>
      </c>
      <c r="T144" s="487">
        <v>1.6</v>
      </c>
      <c r="U144" s="369" t="s">
        <v>50</v>
      </c>
      <c r="V144" s="371">
        <v>1.6</v>
      </c>
      <c r="W144" s="441" t="s">
        <v>422</v>
      </c>
      <c r="X144" s="487">
        <v>0.19</v>
      </c>
      <c r="Y144" s="369" t="s">
        <v>50</v>
      </c>
      <c r="Z144" s="370">
        <v>0.19</v>
      </c>
      <c r="AA144" s="441" t="s">
        <v>422</v>
      </c>
      <c r="AB144" s="487">
        <v>0.5</v>
      </c>
      <c r="AC144" s="369" t="s">
        <v>50</v>
      </c>
      <c r="AD144" s="371">
        <v>0.5</v>
      </c>
      <c r="AE144" s="441" t="s">
        <v>422</v>
      </c>
      <c r="AF144" s="487">
        <v>0.15</v>
      </c>
      <c r="AG144" s="369" t="s">
        <v>50</v>
      </c>
      <c r="AH144" s="370">
        <v>0.15</v>
      </c>
      <c r="AI144" s="441" t="s">
        <v>422</v>
      </c>
      <c r="AJ144" s="558">
        <v>0.07</v>
      </c>
      <c r="AK144" s="369" t="s">
        <v>50</v>
      </c>
      <c r="AL144" s="373">
        <v>0.07</v>
      </c>
      <c r="AM144" s="441" t="s">
        <v>422</v>
      </c>
      <c r="AN144" s="487">
        <v>0.15</v>
      </c>
      <c r="AO144" s="369" t="s">
        <v>50</v>
      </c>
      <c r="AP144" s="370">
        <v>0.15</v>
      </c>
      <c r="AQ144" s="441"/>
      <c r="AR144" s="487"/>
      <c r="AS144" s="487"/>
      <c r="AT144" s="369"/>
      <c r="AU144" s="370"/>
      <c r="AV144" s="708"/>
      <c r="AW144" s="709"/>
    </row>
    <row r="145" spans="1:49" ht="15">
      <c r="A145" s="111"/>
      <c r="C145" s="505" t="s">
        <v>623</v>
      </c>
      <c r="D145" s="506" t="s">
        <v>657</v>
      </c>
      <c r="E145" s="194" t="s">
        <v>50</v>
      </c>
      <c r="F145" s="370"/>
      <c r="G145" s="505"/>
      <c r="H145" s="506"/>
      <c r="I145" s="194"/>
      <c r="J145" s="617"/>
      <c r="K145" s="505" t="s">
        <v>623</v>
      </c>
      <c r="L145" s="506" t="s">
        <v>657</v>
      </c>
      <c r="M145" s="194" t="s">
        <v>50</v>
      </c>
      <c r="N145" s="370"/>
      <c r="O145" s="280" t="s">
        <v>623</v>
      </c>
      <c r="P145" s="506" t="s">
        <v>657</v>
      </c>
      <c r="Q145" t="s">
        <v>50</v>
      </c>
      <c r="R145" s="370"/>
      <c r="S145" s="280" t="s">
        <v>623</v>
      </c>
      <c r="T145" s="506" t="s">
        <v>657</v>
      </c>
      <c r="U145" s="214" t="s">
        <v>50</v>
      </c>
      <c r="V145" s="370"/>
      <c r="W145" s="280" t="s">
        <v>623</v>
      </c>
      <c r="X145" s="386" t="s">
        <v>657</v>
      </c>
      <c r="Y145" t="s">
        <v>50</v>
      </c>
      <c r="Z145" s="370" t="s">
        <v>657</v>
      </c>
      <c r="AA145" s="280" t="s">
        <v>623</v>
      </c>
      <c r="AB145" s="506" t="s">
        <v>657</v>
      </c>
      <c r="AC145" s="214" t="s">
        <v>50</v>
      </c>
      <c r="AD145" s="370"/>
      <c r="AE145" s="280" t="s">
        <v>623</v>
      </c>
      <c r="AF145" s="506" t="s">
        <v>657</v>
      </c>
      <c r="AG145" t="s">
        <v>50</v>
      </c>
      <c r="AH145" s="370"/>
      <c r="AI145" s="441" t="s">
        <v>623</v>
      </c>
      <c r="AJ145" s="545" t="s">
        <v>657</v>
      </c>
      <c r="AK145" s="369" t="s">
        <v>50</v>
      </c>
      <c r="AL145" s="373"/>
      <c r="AM145" s="280" t="s">
        <v>623</v>
      </c>
      <c r="AN145" s="506" t="s">
        <v>657</v>
      </c>
      <c r="AO145" t="s">
        <v>50</v>
      </c>
      <c r="AP145" s="370"/>
      <c r="AQ145" s="280"/>
      <c r="AR145" s="506"/>
      <c r="AS145" s="506"/>
      <c r="AU145" s="370"/>
      <c r="AV145" s="710"/>
      <c r="AW145" s="474"/>
    </row>
    <row r="146" spans="1:49" ht="18">
      <c r="A146" s="111"/>
      <c r="B146" s="271"/>
      <c r="C146" s="439" t="s">
        <v>511</v>
      </c>
      <c r="D146" s="457">
        <v>0.01</v>
      </c>
      <c r="E146" s="274"/>
      <c r="F146" s="299">
        <v>0.01</v>
      </c>
      <c r="G146" s="449" t="s">
        <v>371</v>
      </c>
      <c r="H146" s="457">
        <v>0.01</v>
      </c>
      <c r="I146" s="274"/>
      <c r="J146" s="614">
        <v>0.01</v>
      </c>
      <c r="K146" s="449" t="s">
        <v>371</v>
      </c>
      <c r="L146" s="457">
        <v>0.01</v>
      </c>
      <c r="M146" s="274"/>
      <c r="N146" s="311">
        <v>0.01</v>
      </c>
      <c r="O146" s="449" t="s">
        <v>413</v>
      </c>
      <c r="P146" s="457">
        <v>0.01</v>
      </c>
      <c r="Q146" s="274"/>
      <c r="R146" s="299">
        <v>0.01</v>
      </c>
      <c r="S146" s="449" t="s">
        <v>371</v>
      </c>
      <c r="T146" s="457">
        <v>0.01</v>
      </c>
      <c r="U146" s="274"/>
      <c r="V146" s="311">
        <v>0.01</v>
      </c>
      <c r="W146" s="449" t="s">
        <v>413</v>
      </c>
      <c r="X146" s="457">
        <v>0.01</v>
      </c>
      <c r="Y146" s="274"/>
      <c r="Z146" s="299">
        <v>0.01</v>
      </c>
      <c r="AA146" s="449" t="s">
        <v>371</v>
      </c>
      <c r="AB146" s="493">
        <v>0.1</v>
      </c>
      <c r="AC146" s="274"/>
      <c r="AD146" s="311">
        <v>0.1</v>
      </c>
      <c r="AE146" s="449" t="s">
        <v>413</v>
      </c>
      <c r="AF146" s="457">
        <v>0.01</v>
      </c>
      <c r="AG146" s="274"/>
      <c r="AH146" s="299">
        <v>0.01</v>
      </c>
      <c r="AI146" s="449" t="s">
        <v>371</v>
      </c>
      <c r="AJ146" s="552">
        <v>0.1</v>
      </c>
      <c r="AK146" s="274"/>
      <c r="AL146" s="311">
        <v>0.1</v>
      </c>
      <c r="AM146" s="449" t="s">
        <v>413</v>
      </c>
      <c r="AN146" s="457">
        <v>0.01</v>
      </c>
      <c r="AO146" s="274"/>
      <c r="AP146" s="299">
        <v>0.01</v>
      </c>
      <c r="AQ146" s="439"/>
      <c r="AR146" s="457"/>
      <c r="AS146" s="457"/>
      <c r="AT146" s="274"/>
      <c r="AU146" s="299"/>
      <c r="AV146" s="711"/>
      <c r="AW146" s="470"/>
    </row>
    <row r="147" spans="1:49" ht="15">
      <c r="A147" s="111"/>
      <c r="B147" s="272"/>
      <c r="C147" s="438" t="s">
        <v>52</v>
      </c>
      <c r="D147" s="457">
        <v>4</v>
      </c>
      <c r="E147" s="274" t="s">
        <v>46</v>
      </c>
      <c r="F147" s="299">
        <v>4</v>
      </c>
      <c r="G147" s="438" t="s">
        <v>52</v>
      </c>
      <c r="H147" s="457">
        <v>0.02</v>
      </c>
      <c r="I147" s="274" t="s">
        <v>46</v>
      </c>
      <c r="J147" s="614">
        <v>0.02</v>
      </c>
      <c r="K147" s="438" t="s">
        <v>52</v>
      </c>
      <c r="L147" s="457">
        <v>1.5</v>
      </c>
      <c r="M147" s="274" t="s">
        <v>46</v>
      </c>
      <c r="N147" s="311">
        <v>1.5</v>
      </c>
      <c r="O147" s="438" t="s">
        <v>52</v>
      </c>
      <c r="P147" s="457">
        <v>3</v>
      </c>
      <c r="Q147" s="274" t="s">
        <v>46</v>
      </c>
      <c r="R147" s="299">
        <v>3</v>
      </c>
      <c r="S147" s="438" t="s">
        <v>52</v>
      </c>
      <c r="T147" s="457">
        <v>1.5</v>
      </c>
      <c r="U147" s="274" t="s">
        <v>46</v>
      </c>
      <c r="V147" s="311">
        <v>1.5</v>
      </c>
      <c r="W147" s="438" t="s">
        <v>52</v>
      </c>
      <c r="X147" s="457">
        <v>3</v>
      </c>
      <c r="Y147" s="274" t="s">
        <v>46</v>
      </c>
      <c r="Z147" s="299">
        <v>3</v>
      </c>
      <c r="AA147" s="438" t="s">
        <v>52</v>
      </c>
      <c r="AB147" s="493">
        <v>2</v>
      </c>
      <c r="AC147" s="274" t="s">
        <v>46</v>
      </c>
      <c r="AD147" s="311">
        <v>2</v>
      </c>
      <c r="AE147" s="438" t="s">
        <v>52</v>
      </c>
      <c r="AF147" s="457">
        <v>0.5</v>
      </c>
      <c r="AG147" s="274" t="s">
        <v>46</v>
      </c>
      <c r="AH147" s="299">
        <v>0.5</v>
      </c>
      <c r="AI147" s="438" t="s">
        <v>52</v>
      </c>
      <c r="AJ147" s="552">
        <v>3</v>
      </c>
      <c r="AK147" s="274" t="s">
        <v>46</v>
      </c>
      <c r="AL147" s="311">
        <v>3</v>
      </c>
      <c r="AM147" s="438" t="s">
        <v>52</v>
      </c>
      <c r="AN147" s="457">
        <v>3</v>
      </c>
      <c r="AO147" s="274" t="s">
        <v>46</v>
      </c>
      <c r="AP147" s="299">
        <v>3</v>
      </c>
      <c r="AQ147" s="438"/>
      <c r="AR147" s="457"/>
      <c r="AS147" s="457"/>
      <c r="AT147" s="274"/>
      <c r="AU147" s="299"/>
      <c r="AV147" s="702"/>
      <c r="AW147" s="470"/>
    </row>
    <row r="148" spans="1:49" ht="16.5" customHeight="1">
      <c r="A148" s="111"/>
      <c r="B148" s="430"/>
      <c r="C148" s="442" t="s">
        <v>423</v>
      </c>
      <c r="D148" s="456">
        <v>235619</v>
      </c>
      <c r="E148" s="274" t="s">
        <v>39</v>
      </c>
      <c r="F148" s="302">
        <v>235619</v>
      </c>
      <c r="G148" s="442" t="s">
        <v>423</v>
      </c>
      <c r="H148" s="713">
        <v>5000000000</v>
      </c>
      <c r="I148" s="274" t="s">
        <v>39</v>
      </c>
      <c r="J148" s="714">
        <v>5000000000</v>
      </c>
      <c r="K148" s="442" t="s">
        <v>423</v>
      </c>
      <c r="L148" s="456">
        <v>158000</v>
      </c>
      <c r="M148" s="274" t="s">
        <v>39</v>
      </c>
      <c r="N148" s="315">
        <v>158000</v>
      </c>
      <c r="O148" s="442" t="s">
        <v>423</v>
      </c>
      <c r="P148" s="456">
        <v>70690</v>
      </c>
      <c r="Q148" s="274" t="s">
        <v>39</v>
      </c>
      <c r="R148" s="302">
        <v>70690</v>
      </c>
      <c r="S148" s="442" t="s">
        <v>423</v>
      </c>
      <c r="T148" s="456">
        <v>200000</v>
      </c>
      <c r="U148" s="274" t="s">
        <v>39</v>
      </c>
      <c r="V148" s="315">
        <v>200000</v>
      </c>
      <c r="W148" s="442" t="s">
        <v>423</v>
      </c>
      <c r="X148" s="456">
        <v>47123</v>
      </c>
      <c r="Y148" s="274" t="s">
        <v>39</v>
      </c>
      <c r="Z148" s="302">
        <v>47123</v>
      </c>
      <c r="AA148" s="442" t="s">
        <v>423</v>
      </c>
      <c r="AB148" s="494">
        <v>370000</v>
      </c>
      <c r="AC148" s="274" t="s">
        <v>39</v>
      </c>
      <c r="AD148" s="315">
        <v>370000</v>
      </c>
      <c r="AE148" s="442" t="s">
        <v>423</v>
      </c>
      <c r="AF148" s="456">
        <v>50000</v>
      </c>
      <c r="AG148" s="274" t="s">
        <v>39</v>
      </c>
      <c r="AH148" s="302">
        <v>50000</v>
      </c>
      <c r="AI148" s="442" t="s">
        <v>423</v>
      </c>
      <c r="AJ148" s="556">
        <v>190288</v>
      </c>
      <c r="AK148" s="274" t="s">
        <v>39</v>
      </c>
      <c r="AL148" s="315">
        <v>190288</v>
      </c>
      <c r="AM148" s="442" t="s">
        <v>423</v>
      </c>
      <c r="AN148" s="456">
        <v>73302</v>
      </c>
      <c r="AO148" s="274" t="s">
        <v>39</v>
      </c>
      <c r="AP148" s="302">
        <v>73302</v>
      </c>
      <c r="AQ148" s="442"/>
      <c r="AR148" s="456"/>
      <c r="AS148" s="456"/>
      <c r="AT148" s="274"/>
      <c r="AU148" s="302"/>
      <c r="AV148" s="712"/>
      <c r="AW148" s="472"/>
    </row>
    <row r="149" spans="1:49" ht="21" thickBot="1">
      <c r="A149" s="111"/>
      <c r="B149" s="431"/>
      <c r="C149" s="443" t="s">
        <v>424</v>
      </c>
      <c r="D149" s="488">
        <v>0.004</v>
      </c>
      <c r="E149" s="114" t="s">
        <v>46</v>
      </c>
      <c r="F149" s="282">
        <v>0.004</v>
      </c>
      <c r="G149" s="465" t="s">
        <v>424</v>
      </c>
      <c r="H149" s="453">
        <v>0</v>
      </c>
      <c r="I149" s="275" t="s">
        <v>46</v>
      </c>
      <c r="J149" s="314">
        <v>0</v>
      </c>
      <c r="K149" s="465" t="s">
        <v>424</v>
      </c>
      <c r="L149" s="453">
        <v>0</v>
      </c>
      <c r="M149" s="275" t="s">
        <v>46</v>
      </c>
      <c r="N149" s="314">
        <v>0</v>
      </c>
      <c r="O149" s="465" t="s">
        <v>424</v>
      </c>
      <c r="P149" s="525">
        <v>0.0005</v>
      </c>
      <c r="Q149" s="275" t="s">
        <v>46</v>
      </c>
      <c r="R149" s="282">
        <v>0.0005</v>
      </c>
      <c r="S149" s="465" t="s">
        <v>424</v>
      </c>
      <c r="T149" s="453">
        <v>0</v>
      </c>
      <c r="U149" s="518" t="s">
        <v>46</v>
      </c>
      <c r="V149" s="314">
        <v>0</v>
      </c>
      <c r="W149" s="465" t="s">
        <v>424</v>
      </c>
      <c r="X149" s="488">
        <v>0.0005</v>
      </c>
      <c r="Y149" s="275" t="s">
        <v>46</v>
      </c>
      <c r="Z149" s="282">
        <v>0.0005</v>
      </c>
      <c r="AA149" s="465" t="s">
        <v>424</v>
      </c>
      <c r="AB149" s="493">
        <v>0</v>
      </c>
      <c r="AC149" s="518" t="s">
        <v>46</v>
      </c>
      <c r="AD149" s="314">
        <v>0</v>
      </c>
      <c r="AE149" s="465" t="s">
        <v>424</v>
      </c>
      <c r="AF149" s="525">
        <v>0</v>
      </c>
      <c r="AG149" s="275" t="s">
        <v>46</v>
      </c>
      <c r="AH149" s="282">
        <v>0</v>
      </c>
      <c r="AI149" s="465" t="s">
        <v>424</v>
      </c>
      <c r="AJ149" s="554">
        <v>0.00468</v>
      </c>
      <c r="AK149" s="518" t="s">
        <v>46</v>
      </c>
      <c r="AL149" s="314">
        <v>0.00468</v>
      </c>
      <c r="AM149" s="465" t="s">
        <v>424</v>
      </c>
      <c r="AN149" s="488">
        <v>0.0005</v>
      </c>
      <c r="AO149" s="275" t="s">
        <v>46</v>
      </c>
      <c r="AP149" s="282">
        <v>0.0005</v>
      </c>
      <c r="AQ149" s="443"/>
      <c r="AR149" s="488"/>
      <c r="AS149" s="488"/>
      <c r="AT149" s="114"/>
      <c r="AU149" s="282"/>
      <c r="AV149" s="704"/>
      <c r="AW149" s="705"/>
    </row>
    <row r="150" spans="1:49" ht="13.5" thickBot="1">
      <c r="A150" s="111"/>
      <c r="B150" s="432"/>
      <c r="C150" s="630" t="s">
        <v>617</v>
      </c>
      <c r="D150" s="631"/>
      <c r="E150" s="631"/>
      <c r="F150" s="632"/>
      <c r="G150" s="600" t="s">
        <v>617</v>
      </c>
      <c r="H150" s="733"/>
      <c r="I150" s="733"/>
      <c r="J150" s="734"/>
      <c r="K150" s="600" t="s">
        <v>617</v>
      </c>
      <c r="L150" s="737"/>
      <c r="M150" s="737"/>
      <c r="N150" s="738"/>
      <c r="O150" s="600" t="s">
        <v>617</v>
      </c>
      <c r="P150" s="737"/>
      <c r="Q150" s="737"/>
      <c r="R150" s="738"/>
      <c r="S150" s="600" t="s">
        <v>617</v>
      </c>
      <c r="T150" s="737"/>
      <c r="U150" s="737"/>
      <c r="V150" s="738"/>
      <c r="W150" s="600" t="s">
        <v>617</v>
      </c>
      <c r="X150" s="737"/>
      <c r="Y150" s="737"/>
      <c r="Z150" s="738"/>
      <c r="AA150" s="600" t="s">
        <v>617</v>
      </c>
      <c r="AB150" s="737"/>
      <c r="AC150" s="737"/>
      <c r="AD150" s="738"/>
      <c r="AE150" s="600" t="s">
        <v>617</v>
      </c>
      <c r="AF150" s="737"/>
      <c r="AG150" s="737"/>
      <c r="AH150" s="738"/>
      <c r="AI150" s="547"/>
      <c r="AJ150" s="542"/>
      <c r="AK150" s="542"/>
      <c r="AL150" s="543"/>
      <c r="AM150" s="630" t="s">
        <v>617</v>
      </c>
      <c r="AN150" s="631"/>
      <c r="AO150" s="631"/>
      <c r="AP150" s="632"/>
      <c r="AQ150" s="630"/>
      <c r="AR150" s="631"/>
      <c r="AS150" s="631"/>
      <c r="AT150" s="631"/>
      <c r="AU150" s="632"/>
      <c r="AV150" s="732"/>
      <c r="AW150" s="673"/>
    </row>
    <row r="151" spans="1:49" ht="15">
      <c r="A151" s="111"/>
      <c r="B151" s="272"/>
      <c r="C151" s="444" t="s">
        <v>333</v>
      </c>
      <c r="D151" s="489">
        <v>0.010526315789501162</v>
      </c>
      <c r="E151" s="303" t="s">
        <v>11</v>
      </c>
      <c r="F151" s="304">
        <v>0.010526315789501162</v>
      </c>
      <c r="G151" s="620" t="s">
        <v>798</v>
      </c>
      <c r="H151" s="621">
        <v>10</v>
      </c>
      <c r="I151" s="622" t="s">
        <v>11</v>
      </c>
      <c r="J151" s="623">
        <v>10</v>
      </c>
      <c r="K151" s="444" t="s">
        <v>333</v>
      </c>
      <c r="L151" s="459">
        <v>0.0198</v>
      </c>
      <c r="M151" s="303" t="s">
        <v>11</v>
      </c>
      <c r="N151" s="380">
        <v>0.0198</v>
      </c>
      <c r="O151" s="444" t="s">
        <v>333</v>
      </c>
      <c r="P151" s="489">
        <v>0.0162</v>
      </c>
      <c r="Q151" s="303" t="s">
        <v>11</v>
      </c>
      <c r="R151" s="304">
        <v>0.0162</v>
      </c>
      <c r="S151" s="444" t="s">
        <v>333</v>
      </c>
      <c r="T151" s="491">
        <v>0.01</v>
      </c>
      <c r="U151" s="519" t="s">
        <v>11</v>
      </c>
      <c r="V151" s="316">
        <v>0.01</v>
      </c>
      <c r="W151" s="444" t="s">
        <v>333</v>
      </c>
      <c r="X151" s="489">
        <v>0.016</v>
      </c>
      <c r="Y151" s="303" t="s">
        <v>11</v>
      </c>
      <c r="Z151" s="304">
        <v>0.08</v>
      </c>
      <c r="AA151" s="444" t="s">
        <v>333</v>
      </c>
      <c r="AB151" s="491">
        <v>0.007</v>
      </c>
      <c r="AC151" s="519" t="s">
        <v>11</v>
      </c>
      <c r="AD151" s="316">
        <v>0.01591549</v>
      </c>
      <c r="AE151" s="444" t="s">
        <v>333</v>
      </c>
      <c r="AF151" s="489">
        <v>1E-05</v>
      </c>
      <c r="AG151" s="303" t="s">
        <v>11</v>
      </c>
      <c r="AH151" s="304">
        <v>1E-05</v>
      </c>
      <c r="AI151" s="444" t="s">
        <v>333</v>
      </c>
      <c r="AJ151" s="559">
        <v>0.0001</v>
      </c>
      <c r="AK151" s="303" t="s">
        <v>11</v>
      </c>
      <c r="AL151" s="380">
        <v>0.0001</v>
      </c>
      <c r="AM151" s="444" t="s">
        <v>333</v>
      </c>
      <c r="AN151" s="489">
        <v>0.0162</v>
      </c>
      <c r="AO151" s="303" t="s">
        <v>11</v>
      </c>
      <c r="AP151" s="304">
        <v>0.0162</v>
      </c>
      <c r="AQ151" s="444"/>
      <c r="AR151" s="489"/>
      <c r="AS151" s="775"/>
      <c r="AT151" s="303"/>
      <c r="AU151" s="304"/>
      <c r="AV151" s="702"/>
      <c r="AW151" s="635"/>
    </row>
    <row r="152" spans="1:49" ht="15.75" thickBot="1">
      <c r="A152" s="111"/>
      <c r="B152" s="272"/>
      <c r="C152" s="445" t="s">
        <v>335</v>
      </c>
      <c r="D152" s="490">
        <v>5</v>
      </c>
      <c r="E152" s="305" t="s">
        <v>11</v>
      </c>
      <c r="F152" s="306">
        <v>5</v>
      </c>
      <c r="G152" s="624" t="s">
        <v>797</v>
      </c>
      <c r="H152" s="619">
        <v>1000</v>
      </c>
      <c r="I152" s="625" t="s">
        <v>11</v>
      </c>
      <c r="J152" s="618">
        <v>1000</v>
      </c>
      <c r="K152" s="445" t="s">
        <v>335</v>
      </c>
      <c r="L152" s="460">
        <v>7.9577</v>
      </c>
      <c r="M152" s="305" t="s">
        <v>11</v>
      </c>
      <c r="N152" s="381">
        <v>7.9577</v>
      </c>
      <c r="O152" s="445" t="s">
        <v>335</v>
      </c>
      <c r="P152" s="490">
        <v>0.796</v>
      </c>
      <c r="Q152" s="305" t="s">
        <v>11</v>
      </c>
      <c r="R152" s="306">
        <v>0.796</v>
      </c>
      <c r="S152" s="445" t="s">
        <v>335</v>
      </c>
      <c r="T152" s="492">
        <v>1</v>
      </c>
      <c r="U152" s="520" t="s">
        <v>11</v>
      </c>
      <c r="V152" s="317">
        <v>1</v>
      </c>
      <c r="W152" s="445" t="s">
        <v>335</v>
      </c>
      <c r="X152" s="490">
        <v>0.8</v>
      </c>
      <c r="Y152" s="305" t="s">
        <v>11</v>
      </c>
      <c r="Z152" s="306">
        <v>0.7</v>
      </c>
      <c r="AA152" s="445" t="s">
        <v>335</v>
      </c>
      <c r="AB152" s="492">
        <v>0.7</v>
      </c>
      <c r="AC152" s="520" t="s">
        <v>11</v>
      </c>
      <c r="AD152" s="317">
        <v>1.591549</v>
      </c>
      <c r="AE152" s="445" t="s">
        <v>335</v>
      </c>
      <c r="AF152" s="490">
        <v>10</v>
      </c>
      <c r="AG152" s="305" t="s">
        <v>11</v>
      </c>
      <c r="AH152" s="306">
        <v>10</v>
      </c>
      <c r="AI152" s="445" t="s">
        <v>335</v>
      </c>
      <c r="AJ152" s="560">
        <v>3.5</v>
      </c>
      <c r="AK152" s="305" t="s">
        <v>11</v>
      </c>
      <c r="AL152" s="381">
        <v>3.5</v>
      </c>
      <c r="AM152" s="445" t="s">
        <v>335</v>
      </c>
      <c r="AN152" s="490">
        <v>0.796</v>
      </c>
      <c r="AO152" s="305" t="s">
        <v>11</v>
      </c>
      <c r="AP152" s="306">
        <v>0.796</v>
      </c>
      <c r="AQ152" s="445"/>
      <c r="AR152" s="490"/>
      <c r="AS152" s="776"/>
      <c r="AT152" s="305"/>
      <c r="AU152" s="306"/>
      <c r="AV152" s="702"/>
      <c r="AW152" s="635"/>
    </row>
    <row r="153" spans="1:49" ht="13.5" thickBot="1">
      <c r="A153" s="120"/>
      <c r="B153" s="433"/>
      <c r="C153" s="600" t="s">
        <v>616</v>
      </c>
      <c r="D153" s="733"/>
      <c r="E153" s="733"/>
      <c r="F153" s="734"/>
      <c r="G153" s="600" t="s">
        <v>616</v>
      </c>
      <c r="H153" s="733"/>
      <c r="I153" s="733"/>
      <c r="J153" s="734"/>
      <c r="K153" s="600" t="s">
        <v>616</v>
      </c>
      <c r="L153" s="737"/>
      <c r="M153" s="737"/>
      <c r="N153" s="738"/>
      <c r="O153" s="600" t="s">
        <v>616</v>
      </c>
      <c r="P153" s="737"/>
      <c r="Q153" s="737"/>
      <c r="R153" s="738"/>
      <c r="S153" s="600" t="s">
        <v>616</v>
      </c>
      <c r="T153" s="737"/>
      <c r="U153" s="737"/>
      <c r="V153" s="738"/>
      <c r="W153" s="600" t="s">
        <v>616</v>
      </c>
      <c r="X153" s="737"/>
      <c r="Y153" s="737"/>
      <c r="Z153" s="738"/>
      <c r="AA153" s="600" t="s">
        <v>616</v>
      </c>
      <c r="AB153" s="737"/>
      <c r="AC153" s="737"/>
      <c r="AD153" s="738"/>
      <c r="AE153" s="600" t="s">
        <v>616</v>
      </c>
      <c r="AF153" s="737"/>
      <c r="AG153" s="737"/>
      <c r="AH153" s="738"/>
      <c r="AI153" s="435"/>
      <c r="AJ153" s="561" t="s">
        <v>616</v>
      </c>
      <c r="AK153" s="120"/>
      <c r="AL153" s="297"/>
      <c r="AM153" s="600" t="s">
        <v>616</v>
      </c>
      <c r="AN153" s="733"/>
      <c r="AO153" s="733"/>
      <c r="AP153" s="734"/>
      <c r="AQ153" s="600"/>
      <c r="AR153" s="733"/>
      <c r="AS153" s="733"/>
      <c r="AT153" s="733"/>
      <c r="AU153" s="734"/>
      <c r="AV153" s="732"/>
      <c r="AW153" s="673"/>
    </row>
    <row r="154" spans="1:49" ht="15.75" thickBot="1">
      <c r="A154" s="111"/>
      <c r="B154" s="272"/>
      <c r="C154" s="446" t="s">
        <v>390</v>
      </c>
      <c r="D154" s="461">
        <v>1600</v>
      </c>
      <c r="E154" s="318" t="s">
        <v>11</v>
      </c>
      <c r="F154" s="309">
        <v>1600</v>
      </c>
      <c r="G154" s="446" t="s">
        <v>390</v>
      </c>
      <c r="H154" s="461">
        <v>1600</v>
      </c>
      <c r="I154" s="308" t="s">
        <v>11</v>
      </c>
      <c r="J154" s="309">
        <v>1600</v>
      </c>
      <c r="K154" s="446" t="s">
        <v>390</v>
      </c>
      <c r="L154" s="461">
        <v>1600</v>
      </c>
      <c r="M154" s="308" t="s">
        <v>11</v>
      </c>
      <c r="N154" s="309">
        <v>1600</v>
      </c>
      <c r="O154" s="446" t="s">
        <v>390</v>
      </c>
      <c r="P154" s="461">
        <v>1600</v>
      </c>
      <c r="Q154" s="308" t="s">
        <v>11</v>
      </c>
      <c r="R154" s="309">
        <v>1600</v>
      </c>
      <c r="S154" s="446" t="s">
        <v>390</v>
      </c>
      <c r="T154" s="461">
        <v>1600</v>
      </c>
      <c r="U154" s="521" t="s">
        <v>11</v>
      </c>
      <c r="V154" s="309">
        <v>1600</v>
      </c>
      <c r="W154" s="446" t="s">
        <v>390</v>
      </c>
      <c r="X154" s="461">
        <v>1600</v>
      </c>
      <c r="Y154" s="308" t="s">
        <v>11</v>
      </c>
      <c r="Z154" s="309">
        <v>1600</v>
      </c>
      <c r="AA154" s="446" t="s">
        <v>390</v>
      </c>
      <c r="AB154" s="495">
        <v>1600</v>
      </c>
      <c r="AC154" s="521" t="s">
        <v>11</v>
      </c>
      <c r="AD154" s="309">
        <v>1600</v>
      </c>
      <c r="AE154" s="446" t="s">
        <v>390</v>
      </c>
      <c r="AF154" s="461">
        <v>1600</v>
      </c>
      <c r="AG154" s="308" t="s">
        <v>11</v>
      </c>
      <c r="AH154" s="309">
        <v>1600</v>
      </c>
      <c r="AI154" s="446" t="s">
        <v>390</v>
      </c>
      <c r="AJ154" s="562">
        <v>800</v>
      </c>
      <c r="AK154" s="308" t="s">
        <v>11</v>
      </c>
      <c r="AL154" s="309">
        <v>800</v>
      </c>
      <c r="AM154" s="446" t="s">
        <v>390</v>
      </c>
      <c r="AN154" s="461">
        <v>1600</v>
      </c>
      <c r="AO154" s="308" t="s">
        <v>11</v>
      </c>
      <c r="AP154" s="309">
        <v>1600</v>
      </c>
      <c r="AQ154" s="446"/>
      <c r="AR154" s="461"/>
      <c r="AS154" s="461"/>
      <c r="AT154" s="318"/>
      <c r="AU154" s="309"/>
      <c r="AV154" s="702"/>
      <c r="AW154" s="470"/>
    </row>
    <row r="155" spans="1:43" ht="12.75">
      <c r="A155" s="194"/>
      <c r="B155" s="194"/>
      <c r="K155" s="471"/>
      <c r="L155" s="122"/>
      <c r="M155" s="470"/>
      <c r="AD155" s="194"/>
      <c r="AH155" s="473"/>
      <c r="AI155" s="474"/>
      <c r="AJ155" s="474"/>
      <c r="AK155" s="483"/>
      <c r="AL155" s="483"/>
      <c r="AM155" s="483"/>
      <c r="AN155" s="483"/>
      <c r="AO155" s="483"/>
      <c r="AP155" s="483"/>
      <c r="AQ155" s="483"/>
    </row>
    <row r="156" spans="1:43" ht="15">
      <c r="A156" s="194"/>
      <c r="B156" s="194"/>
      <c r="C156" s="194"/>
      <c r="D156" s="194"/>
      <c r="E156" s="194"/>
      <c r="F156" s="194"/>
      <c r="G156" s="194"/>
      <c r="H156" s="194"/>
      <c r="AD156" s="194"/>
      <c r="AH156" s="475"/>
      <c r="AI156" s="470"/>
      <c r="AJ156" s="470"/>
      <c r="AK156" s="483"/>
      <c r="AL156" s="483"/>
      <c r="AM156" s="483"/>
      <c r="AN156" s="483"/>
      <c r="AO156" s="483"/>
      <c r="AP156" s="483"/>
      <c r="AQ156" s="483"/>
    </row>
    <row r="157" spans="1:43" ht="12.75">
      <c r="A157" s="759"/>
      <c r="B157" s="759"/>
      <c r="C157" s="759"/>
      <c r="D157" s="759"/>
      <c r="E157" s="759"/>
      <c r="F157" s="759"/>
      <c r="G157" s="759"/>
      <c r="H157" s="194"/>
      <c r="AH157" s="471"/>
      <c r="AI157" s="470"/>
      <c r="AJ157" s="470"/>
      <c r="AK157" s="483"/>
      <c r="AL157" s="483"/>
      <c r="AM157" s="483"/>
      <c r="AN157" s="483"/>
      <c r="AO157" s="483"/>
      <c r="AP157" s="483"/>
      <c r="AQ157" s="483"/>
    </row>
    <row r="158" spans="1:43" ht="15">
      <c r="A158" s="651"/>
      <c r="B158" s="651"/>
      <c r="C158" s="388"/>
      <c r="D158" s="653"/>
      <c r="E158" s="651"/>
      <c r="F158" s="667"/>
      <c r="G158" s="651"/>
      <c r="AH158" s="481"/>
      <c r="AI158" s="470"/>
      <c r="AJ158" s="472"/>
      <c r="AK158" s="483"/>
      <c r="AL158" s="483"/>
      <c r="AM158" s="483"/>
      <c r="AN158" s="483"/>
      <c r="AO158" s="483"/>
      <c r="AP158" s="483"/>
      <c r="AQ158" s="483"/>
    </row>
    <row r="159" spans="1:43" ht="17.25">
      <c r="A159" s="388"/>
      <c r="B159" s="388"/>
      <c r="C159" s="388"/>
      <c r="D159" s="668"/>
      <c r="E159" s="651"/>
      <c r="F159" s="669"/>
      <c r="G159" s="388"/>
      <c r="AH159" s="431"/>
      <c r="AI159" s="122"/>
      <c r="AJ159" s="476"/>
      <c r="AK159" s="483"/>
      <c r="AL159" s="483"/>
      <c r="AM159" s="483"/>
      <c r="AN159" s="483"/>
      <c r="AO159" s="483"/>
      <c r="AP159" s="483"/>
      <c r="AQ159" s="483"/>
    </row>
    <row r="160" spans="1:43" ht="12.75">
      <c r="A160" s="388"/>
      <c r="B160" s="388"/>
      <c r="C160" s="388"/>
      <c r="D160" s="670"/>
      <c r="E160" s="651"/>
      <c r="F160" s="671"/>
      <c r="G160" s="651"/>
      <c r="AH160" s="477"/>
      <c r="AI160" s="478"/>
      <c r="AJ160" s="478"/>
      <c r="AK160" s="483"/>
      <c r="AL160" s="483"/>
      <c r="AM160" s="483"/>
      <c r="AN160" s="483"/>
      <c r="AO160" s="483"/>
      <c r="AP160" s="483"/>
      <c r="AQ160" s="483"/>
    </row>
    <row r="161" spans="1:43" ht="12.75">
      <c r="A161" s="388"/>
      <c r="B161" s="388"/>
      <c r="C161" s="388"/>
      <c r="D161" s="670"/>
      <c r="E161" s="651"/>
      <c r="F161" s="671"/>
      <c r="G161" s="388"/>
      <c r="AH161" s="471"/>
      <c r="AI161" s="122"/>
      <c r="AJ161" s="479"/>
      <c r="AK161" s="483"/>
      <c r="AL161" s="483"/>
      <c r="AM161" s="483"/>
      <c r="AN161" s="483"/>
      <c r="AO161" s="483"/>
      <c r="AP161" s="483"/>
      <c r="AQ161" s="483"/>
    </row>
    <row r="162" spans="1:43" ht="12.75">
      <c r="A162" s="388"/>
      <c r="B162" s="388"/>
      <c r="C162" s="388"/>
      <c r="D162" s="672"/>
      <c r="E162" s="651"/>
      <c r="F162" s="651"/>
      <c r="G162" s="651"/>
      <c r="AH162" s="471"/>
      <c r="AI162" s="122"/>
      <c r="AJ162" s="479"/>
      <c r="AK162" s="483"/>
      <c r="AL162" s="483"/>
      <c r="AM162" s="483"/>
      <c r="AN162" s="483"/>
      <c r="AO162" s="483"/>
      <c r="AP162" s="483"/>
      <c r="AQ162" s="483"/>
    </row>
    <row r="163" spans="1:43" ht="12.75">
      <c r="A163" s="388"/>
      <c r="B163" s="388"/>
      <c r="C163" s="388"/>
      <c r="D163" s="651"/>
      <c r="E163" s="651"/>
      <c r="F163" s="651"/>
      <c r="G163" s="651"/>
      <c r="AH163" s="122"/>
      <c r="AI163" s="122"/>
      <c r="AJ163" s="122"/>
      <c r="AK163" s="483"/>
      <c r="AL163" s="483"/>
      <c r="AM163" s="483"/>
      <c r="AN163" s="483"/>
      <c r="AO163" s="483"/>
      <c r="AP163" s="483"/>
      <c r="AQ163" s="483"/>
    </row>
    <row r="164" spans="1:43" ht="17.25">
      <c r="A164" s="675"/>
      <c r="B164" s="675"/>
      <c r="C164" s="676"/>
      <c r="D164" s="675"/>
      <c r="E164" s="675"/>
      <c r="F164" s="651"/>
      <c r="G164" s="651"/>
      <c r="AH164" s="471"/>
      <c r="AI164" s="122"/>
      <c r="AJ164" s="470"/>
      <c r="AK164" s="483"/>
      <c r="AL164" s="483"/>
      <c r="AM164" s="483"/>
      <c r="AN164" s="483"/>
      <c r="AO164" s="483"/>
      <c r="AP164" s="483"/>
      <c r="AQ164" s="483"/>
    </row>
    <row r="165" spans="1:43" ht="15" customHeight="1">
      <c r="A165" s="651"/>
      <c r="B165" s="651"/>
      <c r="C165" s="651"/>
      <c r="D165" s="388"/>
      <c r="E165" s="388"/>
      <c r="F165" s="651"/>
      <c r="G165" s="651"/>
      <c r="AK165" s="483"/>
      <c r="AL165" s="483"/>
      <c r="AM165" s="483"/>
      <c r="AN165" s="483"/>
      <c r="AO165" s="483"/>
      <c r="AP165" s="483"/>
      <c r="AQ165" s="483"/>
    </row>
    <row r="166" spans="1:43" ht="12.75">
      <c r="A166" s="677"/>
      <c r="B166" s="651"/>
      <c r="C166" s="651"/>
      <c r="D166" s="678"/>
      <c r="E166" s="671"/>
      <c r="F166" s="651"/>
      <c r="G166" s="651"/>
      <c r="AK166" s="483"/>
      <c r="AL166" s="483"/>
      <c r="AM166" s="483"/>
      <c r="AN166" s="483"/>
      <c r="AO166" s="483"/>
      <c r="AP166" s="483"/>
      <c r="AQ166" s="483"/>
    </row>
    <row r="167" spans="1:42" ht="12.75">
      <c r="A167" s="677"/>
      <c r="B167" s="651"/>
      <c r="C167" s="651"/>
      <c r="D167" s="669"/>
      <c r="E167" s="671"/>
      <c r="F167" s="651"/>
      <c r="G167" s="651"/>
      <c r="AM167" s="471"/>
      <c r="AN167" s="479"/>
      <c r="AO167" s="482"/>
      <c r="AP167" s="479"/>
    </row>
    <row r="168" spans="1:42" ht="12.75">
      <c r="A168" s="679"/>
      <c r="B168" s="651"/>
      <c r="C168" s="651"/>
      <c r="D168" s="678"/>
      <c r="E168" s="671"/>
      <c r="F168" s="651"/>
      <c r="G168" s="651"/>
      <c r="AM168" s="482"/>
      <c r="AN168" s="480"/>
      <c r="AO168" s="482"/>
      <c r="AP168" s="482"/>
    </row>
    <row r="169" spans="1:42" ht="12.75">
      <c r="A169" s="679"/>
      <c r="B169" s="651"/>
      <c r="C169" s="651"/>
      <c r="D169" s="669"/>
      <c r="E169" s="671"/>
      <c r="F169" s="651"/>
      <c r="G169" s="651"/>
      <c r="AM169" s="471"/>
      <c r="AN169" s="470"/>
      <c r="AO169" s="482"/>
      <c r="AP169" s="470"/>
    </row>
    <row r="170" spans="1:7" ht="12.75">
      <c r="A170" s="651"/>
      <c r="B170" s="651"/>
      <c r="C170" s="651"/>
      <c r="D170" s="651"/>
      <c r="E170" s="651"/>
      <c r="F170" s="651"/>
      <c r="G170" s="651"/>
    </row>
    <row r="171" spans="1:7" ht="12.75">
      <c r="A171" s="651"/>
      <c r="B171" s="651"/>
      <c r="C171" s="651"/>
      <c r="D171" s="680"/>
      <c r="E171" s="651"/>
      <c r="F171" s="651"/>
      <c r="G171" s="651"/>
    </row>
    <row r="172" spans="1:7" ht="12.75">
      <c r="A172" s="651"/>
      <c r="B172" s="651"/>
      <c r="C172" s="651"/>
      <c r="D172" s="651"/>
      <c r="E172" s="681"/>
      <c r="F172" s="651"/>
      <c r="G172" s="651"/>
    </row>
    <row r="173" spans="1:7" ht="12.75">
      <c r="A173" s="651"/>
      <c r="B173" s="651"/>
      <c r="C173" s="651"/>
      <c r="D173" s="651"/>
      <c r="E173" s="651"/>
      <c r="F173" s="651"/>
      <c r="G173" s="651"/>
    </row>
    <row r="174" spans="1:7" ht="12.75">
      <c r="A174" s="651"/>
      <c r="B174" s="651"/>
      <c r="C174" s="651"/>
      <c r="D174" s="682"/>
      <c r="E174" s="651"/>
      <c r="F174" s="651"/>
      <c r="G174" s="651"/>
    </row>
    <row r="175" spans="1:7" ht="12.75">
      <c r="A175" s="651"/>
      <c r="B175" s="651"/>
      <c r="C175" s="388"/>
      <c r="D175" s="679"/>
      <c r="E175" s="651"/>
      <c r="F175" s="651"/>
      <c r="G175" s="651"/>
    </row>
    <row r="176" spans="1:7" ht="12.75">
      <c r="A176" s="651"/>
      <c r="B176" s="651"/>
      <c r="C176" s="388"/>
      <c r="D176" s="683"/>
      <c r="E176" s="651"/>
      <c r="F176" s="651"/>
      <c r="G176" s="651"/>
    </row>
    <row r="177" spans="1:7" ht="12.75">
      <c r="A177" s="651"/>
      <c r="B177" s="651"/>
      <c r="C177" s="388"/>
      <c r="D177" s="683"/>
      <c r="E177" s="651"/>
      <c r="F177" s="651"/>
      <c r="G177" s="651"/>
    </row>
    <row r="178" spans="1:7" ht="12.75">
      <c r="A178" s="651"/>
      <c r="B178" s="651"/>
      <c r="C178" s="388"/>
      <c r="D178" s="679"/>
      <c r="E178" s="651"/>
      <c r="F178" s="651"/>
      <c r="G178" s="651"/>
    </row>
    <row r="179" spans="1:7" ht="12.75">
      <c r="A179" s="651"/>
      <c r="B179" s="651"/>
      <c r="C179" s="388"/>
      <c r="D179" s="677"/>
      <c r="E179" s="651"/>
      <c r="F179" s="651"/>
      <c r="G179" s="651"/>
    </row>
    <row r="180" spans="1:7" ht="12.75">
      <c r="A180" s="651"/>
      <c r="B180" s="651"/>
      <c r="C180" s="388"/>
      <c r="D180" s="677"/>
      <c r="E180" s="651"/>
      <c r="F180" s="677"/>
      <c r="G180" s="651"/>
    </row>
    <row r="181" spans="1:7" ht="12.75">
      <c r="A181" s="651"/>
      <c r="B181" s="651"/>
      <c r="C181" s="388"/>
      <c r="D181" s="677"/>
      <c r="E181" s="651"/>
      <c r="F181" s="677"/>
      <c r="G181" s="651"/>
    </row>
    <row r="182" spans="1:7" ht="12.75">
      <c r="A182" s="651"/>
      <c r="B182" s="651"/>
      <c r="C182" s="388"/>
      <c r="D182" s="677"/>
      <c r="E182" s="651"/>
      <c r="F182" s="651"/>
      <c r="G182" s="651"/>
    </row>
    <row r="183" spans="1:7" ht="12.75">
      <c r="A183" s="651"/>
      <c r="B183" s="651"/>
      <c r="C183" s="388"/>
      <c r="D183" s="677"/>
      <c r="E183" s="651"/>
      <c r="F183" s="651"/>
      <c r="G183" s="651"/>
    </row>
    <row r="184" spans="1:7" ht="12.75">
      <c r="A184" s="651"/>
      <c r="B184" s="651"/>
      <c r="C184" s="651"/>
      <c r="D184" s="651"/>
      <c r="E184" s="651"/>
      <c r="F184" s="651"/>
      <c r="G184" s="651"/>
    </row>
    <row r="185" spans="1:7" ht="15">
      <c r="A185" s="651"/>
      <c r="B185" s="651"/>
      <c r="C185" s="684"/>
      <c r="D185" s="656"/>
      <c r="E185" s="651"/>
      <c r="F185" s="651"/>
      <c r="G185" s="651"/>
    </row>
    <row r="186" spans="1:7" ht="15">
      <c r="A186" s="651"/>
      <c r="B186" s="651"/>
      <c r="C186" s="684"/>
      <c r="D186" s="656"/>
      <c r="E186" s="651"/>
      <c r="F186" s="651"/>
      <c r="G186" s="651"/>
    </row>
    <row r="187" spans="1:7" ht="12.75">
      <c r="A187" s="651"/>
      <c r="B187" s="651"/>
      <c r="C187" s="388"/>
      <c r="D187" s="651"/>
      <c r="E187" s="651"/>
      <c r="F187" s="651"/>
      <c r="G187" s="651"/>
    </row>
    <row r="188" spans="1:7" ht="12.75">
      <c r="A188" s="651"/>
      <c r="B188" s="651"/>
      <c r="C188" s="388"/>
      <c r="D188" s="651"/>
      <c r="E188" s="651"/>
      <c r="F188" s="388"/>
      <c r="G188" s="651"/>
    </row>
    <row r="189" spans="1:7" ht="12.75">
      <c r="A189" s="651"/>
      <c r="B189" s="651"/>
      <c r="C189" s="388"/>
      <c r="D189" s="651"/>
      <c r="E189" s="651"/>
      <c r="F189" s="651"/>
      <c r="G189" s="651"/>
    </row>
    <row r="190" spans="1:7" ht="15">
      <c r="A190" s="651"/>
      <c r="B190" s="651"/>
      <c r="C190" s="684"/>
      <c r="D190" s="651"/>
      <c r="E190" s="651"/>
      <c r="F190" s="651"/>
      <c r="G190" s="651"/>
    </row>
    <row r="191" spans="1:7" ht="12.75">
      <c r="A191" s="651"/>
      <c r="B191" s="651"/>
      <c r="C191" s="651"/>
      <c r="D191" s="651"/>
      <c r="E191" s="651"/>
      <c r="F191" s="651"/>
      <c r="G191" s="651"/>
    </row>
    <row r="192" spans="1:7" ht="12.75">
      <c r="A192" s="651"/>
      <c r="B192" s="651"/>
      <c r="C192" s="651"/>
      <c r="D192" s="651"/>
      <c r="E192" s="651"/>
      <c r="F192" s="651"/>
      <c r="G192" s="651"/>
    </row>
    <row r="193" spans="1:7" ht="12.75">
      <c r="A193" s="651"/>
      <c r="B193" s="651"/>
      <c r="C193" s="651"/>
      <c r="D193" s="685"/>
      <c r="E193" s="651"/>
      <c r="F193" s="651"/>
      <c r="G193" s="651"/>
    </row>
    <row r="194" spans="1:7" ht="12.75">
      <c r="A194" s="651"/>
      <c r="B194" s="651"/>
      <c r="C194" s="651"/>
      <c r="D194" s="686"/>
      <c r="E194" s="651"/>
      <c r="F194" s="651"/>
      <c r="G194" s="651"/>
    </row>
    <row r="195" spans="1:7" ht="12.75">
      <c r="A195" s="651"/>
      <c r="B195" s="651"/>
      <c r="C195" s="687"/>
      <c r="D195" s="669"/>
      <c r="E195" s="651"/>
      <c r="F195" s="651"/>
      <c r="G195" s="651"/>
    </row>
    <row r="196" spans="1:7" ht="12.75">
      <c r="A196" s="651"/>
      <c r="B196" s="651"/>
      <c r="C196" s="687"/>
      <c r="D196" s="669"/>
      <c r="E196" s="651"/>
      <c r="F196" s="651"/>
      <c r="G196" s="651"/>
    </row>
    <row r="197" spans="1:7" ht="12.75">
      <c r="A197" s="651"/>
      <c r="B197" s="651"/>
      <c r="C197" s="651"/>
      <c r="D197" s="651"/>
      <c r="E197" s="651"/>
      <c r="F197" s="651"/>
      <c r="G197" s="651"/>
    </row>
    <row r="198" spans="1:7" ht="12.75">
      <c r="A198" s="651"/>
      <c r="B198" s="651"/>
      <c r="C198" s="651"/>
      <c r="D198" s="651"/>
      <c r="E198" s="651"/>
      <c r="F198" s="651"/>
      <c r="G198" s="651"/>
    </row>
    <row r="199" spans="1:7" ht="12.75">
      <c r="A199" s="651"/>
      <c r="B199" s="651"/>
      <c r="C199" s="651"/>
      <c r="D199" s="669"/>
      <c r="E199" s="651"/>
      <c r="F199" s="651"/>
      <c r="G199" s="651"/>
    </row>
    <row r="200" spans="1:7" ht="12.75">
      <c r="A200" s="651"/>
      <c r="B200" s="651"/>
      <c r="C200" s="651"/>
      <c r="D200" s="686"/>
      <c r="E200" s="651"/>
      <c r="F200" s="651"/>
      <c r="G200" s="651"/>
    </row>
    <row r="201" spans="1:7" ht="12.75">
      <c r="A201" s="651"/>
      <c r="B201" s="651"/>
      <c r="C201" s="687"/>
      <c r="D201" s="677"/>
      <c r="E201" s="651"/>
      <c r="F201" s="651"/>
      <c r="G201" s="651"/>
    </row>
    <row r="202" spans="1:7" ht="12.75">
      <c r="A202" s="651"/>
      <c r="B202" s="651"/>
      <c r="C202" s="687"/>
      <c r="D202" s="669"/>
      <c r="E202" s="651"/>
      <c r="F202" s="651"/>
      <c r="G202" s="651"/>
    </row>
    <row r="203" spans="1:7" ht="12.75">
      <c r="A203" s="651"/>
      <c r="B203" s="651"/>
      <c r="C203" s="651"/>
      <c r="D203" s="651"/>
      <c r="E203" s="651"/>
      <c r="F203" s="651"/>
      <c r="G203" s="651"/>
    </row>
    <row r="204" spans="1:7" ht="12.75">
      <c r="A204" s="651"/>
      <c r="B204" s="651"/>
      <c r="C204" s="651"/>
      <c r="D204" s="651"/>
      <c r="E204" s="651"/>
      <c r="F204" s="651"/>
      <c r="G204" s="651"/>
    </row>
    <row r="205" spans="1:7" ht="12.75">
      <c r="A205" s="651"/>
      <c r="B205" s="651"/>
      <c r="C205" s="687"/>
      <c r="D205" s="677"/>
      <c r="E205" s="651"/>
      <c r="F205" s="651"/>
      <c r="G205" s="651"/>
    </row>
    <row r="206" spans="1:7" ht="12.75">
      <c r="A206" s="651"/>
      <c r="B206" s="651"/>
      <c r="C206" s="651"/>
      <c r="D206" s="651"/>
      <c r="E206" s="651"/>
      <c r="F206" s="651"/>
      <c r="G206" s="651"/>
    </row>
    <row r="207" spans="1:7" ht="12.75">
      <c r="A207" s="651"/>
      <c r="B207" s="651"/>
      <c r="C207" s="651"/>
      <c r="D207" s="679"/>
      <c r="E207" s="651"/>
      <c r="F207" s="651"/>
      <c r="G207" s="651"/>
    </row>
    <row r="208" spans="1:7" ht="12.75">
      <c r="A208" s="651"/>
      <c r="B208" s="651"/>
      <c r="C208" s="651"/>
      <c r="D208" s="651"/>
      <c r="E208" s="651"/>
      <c r="F208" s="651"/>
      <c r="G208" s="651"/>
    </row>
    <row r="209" spans="1:7" ht="12.75">
      <c r="A209" s="651"/>
      <c r="B209" s="651"/>
      <c r="C209" s="651"/>
      <c r="D209" s="651"/>
      <c r="E209" s="651"/>
      <c r="F209" s="651"/>
      <c r="G209" s="651"/>
    </row>
    <row r="210" spans="1:7" ht="12.75">
      <c r="A210" s="651"/>
      <c r="B210" s="651"/>
      <c r="C210" s="651"/>
      <c r="D210" s="651"/>
      <c r="E210" s="651"/>
      <c r="F210" s="651"/>
      <c r="G210" s="651"/>
    </row>
    <row r="211" spans="1:7" ht="12.75">
      <c r="A211" s="651"/>
      <c r="B211" s="651"/>
      <c r="C211" s="651"/>
      <c r="D211" s="651"/>
      <c r="E211" s="651"/>
      <c r="F211" s="651"/>
      <c r="G211" s="651"/>
    </row>
    <row r="212" spans="1:7" ht="12.75">
      <c r="A212" s="651"/>
      <c r="B212" s="651"/>
      <c r="C212" s="651"/>
      <c r="D212" s="651"/>
      <c r="E212" s="651"/>
      <c r="F212" s="651"/>
      <c r="G212" s="651"/>
    </row>
    <row r="213" spans="1:7" ht="12.75">
      <c r="A213" s="651"/>
      <c r="B213" s="651"/>
      <c r="C213" s="651"/>
      <c r="D213" s="651"/>
      <c r="E213" s="651"/>
      <c r="F213" s="651"/>
      <c r="G213" s="651"/>
    </row>
    <row r="214" spans="1:7" ht="12.75">
      <c r="A214" s="651"/>
      <c r="B214" s="651"/>
      <c r="C214" s="651"/>
      <c r="D214" s="651"/>
      <c r="E214" s="651"/>
      <c r="F214" s="651"/>
      <c r="G214" s="651"/>
    </row>
  </sheetData>
  <sheetProtection sheet="1" objects="1" scenarios="1"/>
  <mergeCells count="54">
    <mergeCell ref="AS1:AS2"/>
    <mergeCell ref="Z1:AD1"/>
    <mergeCell ref="AM153:AP153"/>
    <mergeCell ref="AI1:AM1"/>
    <mergeCell ref="A157:G157"/>
    <mergeCell ref="C5:F5"/>
    <mergeCell ref="C125:F125"/>
    <mergeCell ref="C30:F30"/>
    <mergeCell ref="S1:W1"/>
    <mergeCell ref="F58:G64"/>
    <mergeCell ref="AE1:AF1"/>
    <mergeCell ref="X1:Y1"/>
    <mergeCell ref="C153:F153"/>
    <mergeCell ref="G153:J153"/>
    <mergeCell ref="AW1:AX1"/>
    <mergeCell ref="AT1:AV1"/>
    <mergeCell ref="AN1:AP1"/>
    <mergeCell ref="AR1:AR2"/>
    <mergeCell ref="AH1:AH2"/>
    <mergeCell ref="H1:K1"/>
    <mergeCell ref="N1:R1"/>
    <mergeCell ref="W125:Z125"/>
    <mergeCell ref="F46:G48"/>
    <mergeCell ref="C33:F33"/>
    <mergeCell ref="W153:Z153"/>
    <mergeCell ref="C150:F150"/>
    <mergeCell ref="G125:J125"/>
    <mergeCell ref="G150:J150"/>
    <mergeCell ref="W150:Z150"/>
    <mergeCell ref="S150:V150"/>
    <mergeCell ref="K125:N125"/>
    <mergeCell ref="O125:R125"/>
    <mergeCell ref="O150:R150"/>
    <mergeCell ref="S125:V125"/>
    <mergeCell ref="AE150:AH150"/>
    <mergeCell ref="AI125:AL125"/>
    <mergeCell ref="AM150:AP150"/>
    <mergeCell ref="K153:N153"/>
    <mergeCell ref="O153:R153"/>
    <mergeCell ref="K150:N150"/>
    <mergeCell ref="AE153:AH153"/>
    <mergeCell ref="AA150:AD150"/>
    <mergeCell ref="AA153:AD153"/>
    <mergeCell ref="S153:V153"/>
    <mergeCell ref="AV153:AW153"/>
    <mergeCell ref="F76:G78"/>
    <mergeCell ref="AV125:AW125"/>
    <mergeCell ref="AV150:AW150"/>
    <mergeCell ref="AQ125:AU125"/>
    <mergeCell ref="AQ150:AU150"/>
    <mergeCell ref="AQ153:AU153"/>
    <mergeCell ref="AM125:AP125"/>
    <mergeCell ref="AA125:AD125"/>
    <mergeCell ref="AE125:AH125"/>
  </mergeCells>
  <printOptions/>
  <pageMargins left="0.75" right="0.75" top="0.52" bottom="0.49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102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2" sqref="Q82:Q90"/>
    </sheetView>
  </sheetViews>
  <sheetFormatPr defaultColWidth="9.140625" defaultRowHeight="12.75"/>
  <cols>
    <col min="5" max="5" width="9.8515625" style="0" customWidth="1"/>
    <col min="6" max="6" width="9.28125" style="0" customWidth="1"/>
    <col min="7" max="7" width="9.8515625" style="0" customWidth="1"/>
    <col min="9" max="9" width="8.421875" style="0" customWidth="1"/>
    <col min="10" max="10" width="10.140625" style="0" customWidth="1"/>
    <col min="11" max="11" width="9.28125" style="0" customWidth="1"/>
    <col min="12" max="12" width="9.57421875" style="0" customWidth="1"/>
    <col min="18" max="18" width="10.00390625" style="0" customWidth="1"/>
    <col min="20" max="20" width="9.8515625" style="0" customWidth="1"/>
    <col min="21" max="22" width="7.8515625" style="0" customWidth="1"/>
    <col min="23" max="23" width="12.57421875" style="0" customWidth="1"/>
  </cols>
  <sheetData>
    <row r="1" spans="1:23" ht="13.5" thickBot="1">
      <c r="A1" s="32"/>
      <c r="B1" s="769" t="s">
        <v>62</v>
      </c>
      <c r="C1" s="767"/>
      <c r="D1" s="767"/>
      <c r="E1" s="768"/>
      <c r="F1" s="766" t="s">
        <v>63</v>
      </c>
      <c r="G1" s="767"/>
      <c r="H1" s="768"/>
      <c r="I1" s="766" t="s">
        <v>64</v>
      </c>
      <c r="J1" s="767"/>
      <c r="K1" s="768"/>
      <c r="L1" s="14" t="s">
        <v>20</v>
      </c>
      <c r="M1" s="769" t="s">
        <v>65</v>
      </c>
      <c r="N1" s="767"/>
      <c r="O1" s="767"/>
      <c r="P1" s="767"/>
      <c r="Q1" s="768"/>
      <c r="R1" s="766" t="s">
        <v>66</v>
      </c>
      <c r="S1" s="767"/>
      <c r="T1" s="767"/>
      <c r="U1" s="767"/>
      <c r="V1" s="767"/>
      <c r="W1" s="768"/>
    </row>
    <row r="2" spans="1:23" ht="18" customHeight="1">
      <c r="A2" s="17" t="s">
        <v>67</v>
      </c>
      <c r="B2" s="33" t="s">
        <v>68</v>
      </c>
      <c r="C2" s="17" t="s">
        <v>69</v>
      </c>
      <c r="D2" s="17" t="s">
        <v>70</v>
      </c>
      <c r="E2" s="34" t="s">
        <v>71</v>
      </c>
      <c r="F2" s="17" t="s">
        <v>72</v>
      </c>
      <c r="G2" s="17" t="s">
        <v>73</v>
      </c>
      <c r="H2" s="34" t="s">
        <v>74</v>
      </c>
      <c r="I2" s="17" t="s">
        <v>61</v>
      </c>
      <c r="J2" s="17" t="s">
        <v>75</v>
      </c>
      <c r="K2" s="34" t="s">
        <v>76</v>
      </c>
      <c r="L2" s="17" t="s">
        <v>77</v>
      </c>
      <c r="M2" s="33" t="s">
        <v>78</v>
      </c>
      <c r="N2" s="17" t="s">
        <v>79</v>
      </c>
      <c r="O2" s="17" t="s">
        <v>80</v>
      </c>
      <c r="P2" s="17" t="s">
        <v>81</v>
      </c>
      <c r="Q2" s="34" t="s">
        <v>82</v>
      </c>
      <c r="R2" s="35" t="s">
        <v>83</v>
      </c>
      <c r="S2" s="35" t="s">
        <v>84</v>
      </c>
      <c r="T2" s="35" t="s">
        <v>85</v>
      </c>
      <c r="U2" s="35" t="s">
        <v>86</v>
      </c>
      <c r="V2" s="35" t="s">
        <v>87</v>
      </c>
      <c r="W2" s="36" t="s">
        <v>88</v>
      </c>
    </row>
    <row r="3" spans="1:23" ht="30.75" customHeight="1">
      <c r="A3" s="37" t="s">
        <v>0</v>
      </c>
      <c r="B3" s="38" t="s">
        <v>18</v>
      </c>
      <c r="C3" s="39" t="s">
        <v>5</v>
      </c>
      <c r="D3" s="40" t="s">
        <v>89</v>
      </c>
      <c r="E3" s="41" t="s">
        <v>90</v>
      </c>
      <c r="F3" s="39" t="s">
        <v>91</v>
      </c>
      <c r="G3" s="39" t="s">
        <v>92</v>
      </c>
      <c r="H3" s="41" t="s">
        <v>93</v>
      </c>
      <c r="I3" s="39" t="s">
        <v>94</v>
      </c>
      <c r="J3" s="39" t="s">
        <v>95</v>
      </c>
      <c r="K3" s="41" t="s">
        <v>96</v>
      </c>
      <c r="L3" s="40" t="s">
        <v>97</v>
      </c>
      <c r="M3" s="38" t="s">
        <v>24</v>
      </c>
      <c r="N3" s="39" t="s">
        <v>25</v>
      </c>
      <c r="O3" s="39" t="s">
        <v>26</v>
      </c>
      <c r="P3" s="39" t="s">
        <v>27</v>
      </c>
      <c r="Q3" s="41" t="s">
        <v>28</v>
      </c>
      <c r="R3" s="40" t="s">
        <v>98</v>
      </c>
      <c r="S3" s="39" t="s">
        <v>94</v>
      </c>
      <c r="T3" s="39" t="s">
        <v>95</v>
      </c>
      <c r="U3" s="39" t="s">
        <v>96</v>
      </c>
      <c r="V3" s="40" t="s">
        <v>89</v>
      </c>
      <c r="W3" s="41" t="s">
        <v>99</v>
      </c>
    </row>
    <row r="4" spans="1:23" ht="15.75" thickBot="1">
      <c r="A4" s="11" t="s">
        <v>11</v>
      </c>
      <c r="B4" s="42" t="s">
        <v>32</v>
      </c>
      <c r="C4" s="13" t="s">
        <v>32</v>
      </c>
      <c r="D4" s="4"/>
      <c r="E4" s="14" t="s">
        <v>32</v>
      </c>
      <c r="F4" s="43" t="s">
        <v>40</v>
      </c>
      <c r="G4" s="44" t="s">
        <v>33</v>
      </c>
      <c r="H4" s="14" t="s">
        <v>100</v>
      </c>
      <c r="I4" s="13" t="s">
        <v>34</v>
      </c>
      <c r="J4" s="13" t="s">
        <v>42</v>
      </c>
      <c r="K4" s="45" t="s">
        <v>34</v>
      </c>
      <c r="L4" s="6" t="s">
        <v>41</v>
      </c>
      <c r="M4" s="12"/>
      <c r="N4" s="4"/>
      <c r="O4" s="4"/>
      <c r="P4" s="4"/>
      <c r="Q4" s="5"/>
      <c r="R4" s="4"/>
      <c r="S4" s="13" t="s">
        <v>34</v>
      </c>
      <c r="T4" s="13" t="s">
        <v>42</v>
      </c>
      <c r="U4" s="6" t="s">
        <v>34</v>
      </c>
      <c r="V4" s="4"/>
      <c r="W4" s="45" t="s">
        <v>34</v>
      </c>
    </row>
    <row r="5" spans="1:23" ht="13.5" thickBot="1">
      <c r="A5" s="46" t="b">
        <f>SUM(A15:A90)=SUM(Control!$A41:$A119)</f>
        <v>0</v>
      </c>
      <c r="B5" s="47" t="b">
        <f>SUM(B15:B90)=SUM(Control!AA41:AA119)</f>
        <v>0</v>
      </c>
      <c r="C5" s="48" t="b">
        <f>SUM(C15:C90)=SUM(Control!N41:N119)</f>
        <v>0</v>
      </c>
      <c r="D5" s="48" t="b">
        <f>SUM(D15:D90)=SUM(Control!AF41:AF119)</f>
        <v>0</v>
      </c>
      <c r="E5" s="49" t="b">
        <f>SUM(E15:E90)=SUM(Control!AJ41:AJ119)</f>
        <v>0</v>
      </c>
      <c r="F5" s="48" t="b">
        <f>SUM(F15:F90)=SUM(Control!AB41:AB119)</f>
        <v>0</v>
      </c>
      <c r="G5" s="48" t="b">
        <f>SUM(G15:G90)=SUM(Control!P41:P119)</f>
        <v>0</v>
      </c>
      <c r="H5" s="49" t="b">
        <f>SUM(H15:H90)=SUM(Control!AM41:AM119)</f>
        <v>0</v>
      </c>
      <c r="I5" s="48" t="b">
        <f>SUM(I15:I90)=SUM(Control!Q41:Q119)</f>
        <v>0</v>
      </c>
      <c r="J5" s="48" t="b">
        <f>SUM(J15:J90)=SUM(Control!AO41:AO119)</f>
        <v>0</v>
      </c>
      <c r="K5" s="49" t="b">
        <f>SUM(K15:K90)=SUM(Control!AD41:AD119)</f>
        <v>0</v>
      </c>
      <c r="L5" s="49" t="b">
        <f>SUM(L15:L90)=SUM(Control!AH41:AH119)</f>
        <v>0</v>
      </c>
      <c r="M5" s="48" t="b">
        <f>SUM(M49:M62)=SUM(Control!AT75:AT91)</f>
        <v>0</v>
      </c>
      <c r="N5" s="48" t="b">
        <f>SUM(N47:N62)=SUM(Control!AU73:AU91)</f>
        <v>0</v>
      </c>
      <c r="O5" s="48" t="b">
        <f>SUM(O25:O59)=SUM(Control!AV51:AV88)</f>
        <v>0</v>
      </c>
      <c r="P5" s="48" t="e">
        <f>SUM(P25:P49)=SUM(Control!#REF!)</f>
        <v>#REF!</v>
      </c>
      <c r="Q5" s="49" t="e">
        <f>(SUM(Q15:Q42)+SUM(Q82:Q90))=(SUM(Control!#REF!)+SUM(Control!#REF!))</f>
        <v>#REF!</v>
      </c>
      <c r="R5" s="48" t="b">
        <f>SUM(R15:R90)=SUM(Control!AX41:AX119)</f>
        <v>0</v>
      </c>
      <c r="S5" s="50" t="b">
        <f>SUM(S15:S90)=SUM(Control!Q41:Q119)</f>
        <v>0</v>
      </c>
      <c r="T5" s="48" t="b">
        <f>SUM(T15:T90)=SUM(Control!AO41:AO119)</f>
        <v>0</v>
      </c>
      <c r="U5" s="48" t="b">
        <f>SUM(U15:U90)=SUM(Control!AD41:AD119)</f>
        <v>0</v>
      </c>
      <c r="V5" s="48" t="b">
        <f>SUM(V15:V90)=SUM(Control!AF41:AF119)</f>
        <v>0</v>
      </c>
      <c r="W5" s="49" t="e">
        <f>SUM(W15:W90)=SUM(Control!#REF!)</f>
        <v>#REF!</v>
      </c>
    </row>
    <row r="6" spans="1:23" ht="12.75">
      <c r="A6" s="51" t="s">
        <v>101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9"/>
      <c r="M6" s="9"/>
      <c r="N6" s="9"/>
      <c r="O6" s="9"/>
      <c r="P6" s="9"/>
      <c r="Q6" s="9"/>
      <c r="R6" s="9"/>
      <c r="T6" s="9"/>
      <c r="U6" s="9"/>
      <c r="V6" s="9"/>
      <c r="W6" s="18"/>
    </row>
    <row r="7" spans="1:23" ht="12.75">
      <c r="A7" s="17"/>
      <c r="W7" s="3"/>
    </row>
    <row r="8" spans="1:23" ht="12.75">
      <c r="A8" s="17"/>
      <c r="W8" s="3"/>
    </row>
    <row r="9" spans="1:23" ht="12.75">
      <c r="A9" s="17"/>
      <c r="W9" s="3"/>
    </row>
    <row r="10" spans="1:23" ht="12.75">
      <c r="A10" s="17"/>
      <c r="W10" s="3"/>
    </row>
    <row r="11" spans="1:23" ht="12.75">
      <c r="A11" s="17"/>
      <c r="W11" s="3"/>
    </row>
    <row r="12" spans="1:23" ht="12.75">
      <c r="A12" s="17"/>
      <c r="W12" s="3"/>
    </row>
    <row r="13" spans="1:23" ht="12.75">
      <c r="A13" s="17"/>
      <c r="W13" s="3"/>
    </row>
    <row r="14" spans="1:23" ht="13.5" thickBot="1">
      <c r="A14" s="2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2.75">
      <c r="A15" s="8">
        <v>0.0001</v>
      </c>
      <c r="B15" s="8">
        <v>76274.59003591587</v>
      </c>
      <c r="C15">
        <v>6970.465164187155</v>
      </c>
      <c r="D15">
        <v>10.9425394488447</v>
      </c>
      <c r="E15" s="20">
        <v>6387.215907664216</v>
      </c>
      <c r="F15">
        <v>38137.295017957935</v>
      </c>
      <c r="G15" s="21">
        <v>3485.2325820935775</v>
      </c>
      <c r="H15" s="3">
        <v>3193.607953832108</v>
      </c>
      <c r="I15">
        <v>2.1898362151913937</v>
      </c>
      <c r="J15">
        <v>2.0066030572409783</v>
      </c>
      <c r="K15" s="16">
        <v>23.962369171240653</v>
      </c>
      <c r="L15" s="23">
        <v>-2.3656699436937076</v>
      </c>
      <c r="Q15" s="3">
        <v>1598.3734951313543</v>
      </c>
      <c r="R15">
        <v>99.99802633495152</v>
      </c>
      <c r="S15" s="8">
        <v>2.0101331743975734</v>
      </c>
      <c r="T15">
        <v>2.008449949522722</v>
      </c>
      <c r="U15">
        <v>2396.1896234335563</v>
      </c>
      <c r="V15">
        <v>1192.0551603013519</v>
      </c>
      <c r="W15" s="3">
        <v>0.11997075969708028</v>
      </c>
    </row>
    <row r="16" spans="1:23" ht="12.75">
      <c r="A16" s="8">
        <v>0.00015000000000000001</v>
      </c>
      <c r="B16" s="8">
        <v>76274.59377337119</v>
      </c>
      <c r="C16">
        <v>6981.777566954065</v>
      </c>
      <c r="D16">
        <v>10.924810056165565</v>
      </c>
      <c r="E16" s="3">
        <v>6397.2341217589565</v>
      </c>
      <c r="F16">
        <v>38137.296886685595</v>
      </c>
      <c r="G16" s="21">
        <v>3490.8887834770326</v>
      </c>
      <c r="H16" s="3">
        <v>3198.6170608794782</v>
      </c>
      <c r="I16">
        <v>3.290085167001137</v>
      </c>
      <c r="J16">
        <v>3.014625558031782</v>
      </c>
      <c r="K16" s="16">
        <v>35.94355551809531</v>
      </c>
      <c r="L16" s="23">
        <v>-3.5438709178132175</v>
      </c>
      <c r="Q16" s="3">
        <v>1598.3734951313543</v>
      </c>
      <c r="R16">
        <v>99.99555941799015</v>
      </c>
      <c r="S16" s="8">
        <v>3.0199321448359107</v>
      </c>
      <c r="T16">
        <v>3.0174023813298887</v>
      </c>
      <c r="U16">
        <v>3594.195941503527</v>
      </c>
      <c r="V16">
        <v>1190.1578476356233</v>
      </c>
      <c r="W16" s="3">
        <v>0.26975689309416195</v>
      </c>
    </row>
    <row r="17" spans="1:23" ht="12.75">
      <c r="A17" s="8">
        <v>0.0002</v>
      </c>
      <c r="B17" s="8">
        <v>76274.5990058091</v>
      </c>
      <c r="C17">
        <v>6997.586636590947</v>
      </c>
      <c r="D17">
        <v>10.90012928271054</v>
      </c>
      <c r="E17" s="3">
        <v>6411.2318358785</v>
      </c>
      <c r="F17">
        <v>38137.29950290455</v>
      </c>
      <c r="G17" s="21">
        <v>3498.7933182954735</v>
      </c>
      <c r="H17" s="3">
        <v>3205.61591793925</v>
      </c>
      <c r="I17">
        <v>4.396713354074445</v>
      </c>
      <c r="J17">
        <v>4.028295767211385</v>
      </c>
      <c r="K17" s="16">
        <v>47.92474397843144</v>
      </c>
      <c r="L17" s="23">
        <v>-4.716550159092422</v>
      </c>
      <c r="Q17" s="3">
        <v>1598.3734951313543</v>
      </c>
      <c r="R17">
        <v>99.99210604098937</v>
      </c>
      <c r="S17" s="8">
        <v>4.0353925074470585</v>
      </c>
      <c r="T17">
        <v>4.032010301644168</v>
      </c>
      <c r="U17">
        <v>4792.096081878589</v>
      </c>
      <c r="V17">
        <v>1187.516721864128</v>
      </c>
      <c r="W17" s="3">
        <v>0.47913071328659146</v>
      </c>
    </row>
    <row r="18" spans="1:23" ht="12.75">
      <c r="A18" s="8">
        <v>0.00030000000000000003</v>
      </c>
      <c r="B18" s="8">
        <v>76274.61395563549</v>
      </c>
      <c r="C18">
        <v>7042.575374943147</v>
      </c>
      <c r="D18">
        <v>10.830500192729737</v>
      </c>
      <c r="E18" s="3">
        <v>6451.048446522193</v>
      </c>
      <c r="F18">
        <v>38137.306977817745</v>
      </c>
      <c r="G18" s="21">
        <v>3521.2876874715735</v>
      </c>
      <c r="H18" s="3">
        <v>3225.5242232610967</v>
      </c>
      <c r="I18">
        <v>6.6374709180821325</v>
      </c>
      <c r="J18">
        <v>6.0799699222638015</v>
      </c>
      <c r="K18" s="16">
        <v>71.88713005752659</v>
      </c>
      <c r="L18" s="23">
        <v>-7.038291977746406</v>
      </c>
      <c r="Q18" s="3">
        <v>1598.3734951313543</v>
      </c>
      <c r="R18">
        <v>99.98224122097184</v>
      </c>
      <c r="S18" s="8">
        <v>6.09070619063247</v>
      </c>
      <c r="T18">
        <v>6.085593579497006</v>
      </c>
      <c r="U18">
        <v>7187.436378094999</v>
      </c>
      <c r="V18">
        <v>1180.0661783931282</v>
      </c>
      <c r="W18" s="3">
        <v>1.0752937037556876</v>
      </c>
    </row>
    <row r="19" spans="1:23" ht="12.75">
      <c r="A19" s="8">
        <v>0.0004</v>
      </c>
      <c r="B19" s="8">
        <v>76274.63488540256</v>
      </c>
      <c r="C19">
        <v>7105.119297858356</v>
      </c>
      <c r="D19">
        <v>10.735165968063848</v>
      </c>
      <c r="E19" s="3">
        <v>6506.358890159601</v>
      </c>
      <c r="F19">
        <v>38137.31744270128</v>
      </c>
      <c r="G19" s="21">
        <v>3552.559648929178</v>
      </c>
      <c r="H19" s="3">
        <v>3253.1794450798006</v>
      </c>
      <c r="I19">
        <v>8.928556235612351</v>
      </c>
      <c r="J19">
        <v>8.176131716377604</v>
      </c>
      <c r="K19" s="16">
        <v>95.84953304448977</v>
      </c>
      <c r="L19" s="23">
        <v>-9.317396192509822</v>
      </c>
      <c r="Q19" s="3">
        <v>1598.3734951313543</v>
      </c>
      <c r="R19">
        <v>99.96843537735792</v>
      </c>
      <c r="S19" s="8">
        <v>8.19061661422624</v>
      </c>
      <c r="T19">
        <v>8.183726673951755</v>
      </c>
      <c r="U19">
        <v>9581.927850108008</v>
      </c>
      <c r="V19">
        <v>1169.8664827584805</v>
      </c>
      <c r="W19" s="3">
        <v>1.9050396107342498</v>
      </c>
    </row>
    <row r="20" spans="1:23" ht="12.75">
      <c r="A20" s="8">
        <v>0.0005</v>
      </c>
      <c r="B20" s="8">
        <v>76274.66179511904</v>
      </c>
      <c r="C20">
        <v>7184.79772862344</v>
      </c>
      <c r="D20">
        <v>10.616118181204925</v>
      </c>
      <c r="E20" s="3">
        <v>6576.748984398379</v>
      </c>
      <c r="F20">
        <v>38137.33089755952</v>
      </c>
      <c r="G20" s="21">
        <v>3592.39886431172</v>
      </c>
      <c r="H20" s="3">
        <v>3288.3744921991897</v>
      </c>
      <c r="I20">
        <v>11.285853880886016</v>
      </c>
      <c r="J20">
        <v>10.330733146945022</v>
      </c>
      <c r="K20" s="16">
        <v>119.81195857529603</v>
      </c>
      <c r="L20" s="23">
        <v>-11.54156056521125</v>
      </c>
      <c r="Q20" s="3">
        <v>1598.3734951313543</v>
      </c>
      <c r="R20">
        <v>99.95069340875492</v>
      </c>
      <c r="S20" s="8">
        <v>10.349111693163447</v>
      </c>
      <c r="T20">
        <v>10.340382238580839</v>
      </c>
      <c r="U20">
        <v>11975.288338261838</v>
      </c>
      <c r="V20">
        <v>1157.1320025633374</v>
      </c>
      <c r="W20" s="3">
        <v>2.9640090073742815</v>
      </c>
    </row>
    <row r="21" spans="1:23" ht="12.75">
      <c r="A21" s="8">
        <v>0.0006000000000000001</v>
      </c>
      <c r="B21" s="8">
        <v>76274.69468479804</v>
      </c>
      <c r="C21">
        <v>7281.096003430326</v>
      </c>
      <c r="D21">
        <v>10.475716107693486</v>
      </c>
      <c r="E21" s="3">
        <v>6661.71108631035</v>
      </c>
      <c r="F21">
        <v>38137.34734239902</v>
      </c>
      <c r="G21" s="21">
        <v>3640.548001715163</v>
      </c>
      <c r="H21" s="3">
        <v>3330.855543155175</v>
      </c>
      <c r="I21">
        <v>13.72454262867523</v>
      </c>
      <c r="J21">
        <v>12.557029565454137</v>
      </c>
      <c r="K21" s="16">
        <v>143.7744122859396</v>
      </c>
      <c r="L21" s="23">
        <v>-13.699946111837383</v>
      </c>
      <c r="Q21" s="3">
        <v>1598.3734951313543</v>
      </c>
      <c r="R21">
        <v>99.92902160509423</v>
      </c>
      <c r="S21" s="8">
        <v>12.57948236889244</v>
      </c>
      <c r="T21">
        <v>12.568836244099968</v>
      </c>
      <c r="U21">
        <v>14367.236351581378</v>
      </c>
      <c r="V21">
        <v>1142.1166571296976</v>
      </c>
      <c r="W21" s="3">
        <v>4.24724581526706</v>
      </c>
    </row>
    <row r="22" spans="1:23" ht="12.75">
      <c r="A22" s="8">
        <v>0.0006999999999999999</v>
      </c>
      <c r="B22" s="8">
        <v>76274.73355445461</v>
      </c>
      <c r="C22">
        <v>7393.422192817319</v>
      </c>
      <c r="D22">
        <v>10.31656674882644</v>
      </c>
      <c r="E22" s="3">
        <v>6760.659986780377</v>
      </c>
      <c r="F22">
        <v>38137.366777227304</v>
      </c>
      <c r="G22" s="21">
        <v>3696.7110964086596</v>
      </c>
      <c r="H22" s="3">
        <v>3380.3299933901885</v>
      </c>
      <c r="I22">
        <v>16.25898459208984</v>
      </c>
      <c r="J22">
        <v>14.867467823521357</v>
      </c>
      <c r="K22" s="16">
        <v>167.7368998124354</v>
      </c>
      <c r="L22" s="23">
        <v>-15.783351632711032</v>
      </c>
      <c r="Q22" s="3">
        <v>1598.3734951313543</v>
      </c>
      <c r="R22">
        <v>99.90342764144535</v>
      </c>
      <c r="S22" s="8">
        <v>14.894210737503643</v>
      </c>
      <c r="T22">
        <v>14.881556139976153</v>
      </c>
      <c r="U22">
        <v>16757.491233211997</v>
      </c>
      <c r="V22">
        <v>1125.1009891391336</v>
      </c>
      <c r="W22" s="3">
        <v>5.749539957059839</v>
      </c>
    </row>
    <row r="23" spans="1:23" ht="12.75">
      <c r="A23" s="8">
        <v>0.0008</v>
      </c>
      <c r="B23" s="8">
        <v>76274.77840410636</v>
      </c>
      <c r="C23">
        <v>7521.1247933410405</v>
      </c>
      <c r="D23">
        <v>10.141405773726495</v>
      </c>
      <c r="E23" s="3">
        <v>6872.949748677281</v>
      </c>
      <c r="F23">
        <v>38137.38920205318</v>
      </c>
      <c r="G23" s="21">
        <v>3760.5623966705202</v>
      </c>
      <c r="H23" s="3">
        <v>3436.4748743386403</v>
      </c>
      <c r="I23">
        <v>18.902648317993812</v>
      </c>
      <c r="J23">
        <v>17.27360675114911</v>
      </c>
      <c r="K23" s="16">
        <v>191.69942679082394</v>
      </c>
      <c r="L23" s="23">
        <v>-17.784295845287843</v>
      </c>
      <c r="Q23" s="3">
        <v>1598.3734951313543</v>
      </c>
      <c r="R23">
        <v>99.87392057047869</v>
      </c>
      <c r="S23" s="8">
        <v>17.304890541634407</v>
      </c>
      <c r="T23">
        <v>17.29012135990828</v>
      </c>
      <c r="U23">
        <v>19145.77332471303</v>
      </c>
      <c r="V23">
        <v>1106.3793370232281</v>
      </c>
      <c r="W23" s="3">
        <v>7.4657305207142235</v>
      </c>
    </row>
    <row r="24" spans="1:23" ht="12.75">
      <c r="A24" s="8">
        <v>0.0009</v>
      </c>
      <c r="B24" s="8">
        <v>76274.82923377409</v>
      </c>
      <c r="C24">
        <v>7663.510332592647</v>
      </c>
      <c r="D24">
        <v>9.952988372623429</v>
      </c>
      <c r="E24" s="3">
        <v>6997.890490845079</v>
      </c>
      <c r="F24">
        <v>38137.41461688704</v>
      </c>
      <c r="G24" s="21">
        <v>3831.7551662963233</v>
      </c>
      <c r="H24" s="3">
        <v>3498.9452454225393</v>
      </c>
      <c r="I24">
        <v>21.668064985424277</v>
      </c>
      <c r="J24">
        <v>19.786069220998314</v>
      </c>
      <c r="K24" s="16">
        <v>215.66199885717657</v>
      </c>
      <c r="L24" s="23">
        <v>-19.697014916961123</v>
      </c>
      <c r="Q24" s="3">
        <v>1598.3734951313543</v>
      </c>
      <c r="R24">
        <v>99.84051081359272</v>
      </c>
      <c r="S24" s="8">
        <v>19.82217927767399</v>
      </c>
      <c r="T24">
        <v>19.80517542355295</v>
      </c>
      <c r="U24">
        <v>21531.80412898098</v>
      </c>
      <c r="V24">
        <v>1086.248077335901</v>
      </c>
      <c r="W24" s="3">
        <v>9.390944097225484</v>
      </c>
    </row>
    <row r="25" spans="1:23" ht="12.75">
      <c r="A25" s="8">
        <v>0.001</v>
      </c>
      <c r="B25" s="8">
        <v>76274.88604348127</v>
      </c>
      <c r="C25">
        <v>7819.8600082006915</v>
      </c>
      <c r="D25">
        <v>9.753996358437586</v>
      </c>
      <c r="E25" s="3">
        <v>7134.764286166894</v>
      </c>
      <c r="F25">
        <v>38137.44302174063</v>
      </c>
      <c r="G25" s="21">
        <v>3909.9300041003457</v>
      </c>
      <c r="H25" s="3">
        <v>3567.382143083447</v>
      </c>
      <c r="I25">
        <v>24.566814753863913</v>
      </c>
      <c r="J25">
        <v>22.414523066516768</v>
      </c>
      <c r="K25" s="16">
        <v>239.6246216475994</v>
      </c>
      <c r="L25" s="23">
        <v>-21.517389197115136</v>
      </c>
      <c r="O25">
        <v>21.869892689974364</v>
      </c>
      <c r="P25">
        <v>13.082624459428589</v>
      </c>
      <c r="Q25" s="3">
        <v>1598.3734951313543</v>
      </c>
      <c r="R25">
        <v>99.80321015072272</v>
      </c>
      <c r="S25" s="8">
        <v>22.45577918161502</v>
      </c>
      <c r="T25">
        <v>22.436406899992505</v>
      </c>
      <c r="U25">
        <v>23915.30647158277</v>
      </c>
      <c r="V25">
        <v>1064.995619976647</v>
      </c>
      <c r="W25" s="3">
        <v>11.52075811894663</v>
      </c>
    </row>
    <row r="26" spans="1:23" ht="12.75">
      <c r="A26" s="8">
        <v>0.0015</v>
      </c>
      <c r="B26" s="8">
        <v>76275.2597936211</v>
      </c>
      <c r="C26">
        <v>8785.85606849236</v>
      </c>
      <c r="D26">
        <v>8.681596784536193</v>
      </c>
      <c r="E26" s="3">
        <v>7972.687481793368</v>
      </c>
      <c r="F26">
        <v>38137.62989681055</v>
      </c>
      <c r="G26" s="21">
        <v>4392.92803424618</v>
      </c>
      <c r="H26" s="3">
        <v>3986.343740896684</v>
      </c>
      <c r="I26">
        <v>41.40237132040935</v>
      </c>
      <c r="J26">
        <v>37.57040463325407</v>
      </c>
      <c r="K26" s="16">
        <v>359.43869372743944</v>
      </c>
      <c r="L26" s="23">
        <v>-29.18652332095856</v>
      </c>
      <c r="O26">
        <v>32.804839034961546</v>
      </c>
      <c r="P26">
        <v>29.43590503371432</v>
      </c>
      <c r="Q26" s="3">
        <v>1598.3734951313543</v>
      </c>
      <c r="R26">
        <v>99.55884908758117</v>
      </c>
      <c r="S26" s="8">
        <v>37.64338826266911</v>
      </c>
      <c r="T26">
        <v>37.609705529075406</v>
      </c>
      <c r="U26">
        <v>35785.302665047464</v>
      </c>
      <c r="V26">
        <v>950.6397887284683</v>
      </c>
      <c r="W26" s="3">
        <v>25.122400103866322</v>
      </c>
    </row>
    <row r="27" spans="1:23" ht="12.75">
      <c r="A27" s="8">
        <v>0.002</v>
      </c>
      <c r="B27" s="8">
        <v>76275.78304984343</v>
      </c>
      <c r="C27">
        <v>9998.903707289275</v>
      </c>
      <c r="D27">
        <v>7.628414602516662</v>
      </c>
      <c r="E27" s="3">
        <v>9004.730322632638</v>
      </c>
      <c r="F27">
        <v>38137.89152492172</v>
      </c>
      <c r="G27" s="21">
        <v>4999.451853644638</v>
      </c>
      <c r="H27" s="3">
        <v>4502.365161316319</v>
      </c>
      <c r="I27">
        <v>62.82496486154347</v>
      </c>
      <c r="J27">
        <v>56.57838925828002</v>
      </c>
      <c r="K27" s="16">
        <v>479.254879352394</v>
      </c>
      <c r="L27" s="23">
        <v>-34.5967229666386</v>
      </c>
      <c r="O27">
        <v>43.73978537994873</v>
      </c>
      <c r="P27">
        <v>52.330497837714354</v>
      </c>
      <c r="Q27" s="3">
        <v>1598.3734951313543</v>
      </c>
      <c r="R27">
        <v>99.21973988003292</v>
      </c>
      <c r="S27" s="8">
        <v>56.69629594818903</v>
      </c>
      <c r="T27">
        <v>56.643004220553976</v>
      </c>
      <c r="U27">
        <v>47551.54446558108</v>
      </c>
      <c r="V27">
        <v>838.7063682085205</v>
      </c>
      <c r="W27" s="3">
        <v>43.4666502550863</v>
      </c>
    </row>
    <row r="28" spans="1:23" ht="12.75">
      <c r="A28" s="8">
        <v>0.003</v>
      </c>
      <c r="B28" s="8">
        <v>76277.27810636614</v>
      </c>
      <c r="C28">
        <v>12927.116914051863</v>
      </c>
      <c r="D28">
        <v>5.900563800382454</v>
      </c>
      <c r="E28" s="3">
        <v>11392.391461713729</v>
      </c>
      <c r="F28">
        <v>38138.63905318307</v>
      </c>
      <c r="G28" s="21">
        <v>6463.558457025932</v>
      </c>
      <c r="H28" s="3">
        <v>5696.195730856864</v>
      </c>
      <c r="I28">
        <v>121.83520658784508</v>
      </c>
      <c r="J28">
        <v>107.37075996881704</v>
      </c>
      <c r="K28" s="16">
        <v>718.8964096043563</v>
      </c>
      <c r="L28" s="23">
        <v>-40.208651373227745</v>
      </c>
      <c r="O28">
        <v>65.60967806992309</v>
      </c>
      <c r="P28">
        <v>117.74362013485728</v>
      </c>
      <c r="Q28" s="3">
        <v>1598.3734951313543</v>
      </c>
      <c r="R28">
        <v>98.26962712735711</v>
      </c>
      <c r="S28" s="8">
        <v>107.63684711836098</v>
      </c>
      <c r="T28">
        <v>107.52166035688062</v>
      </c>
      <c r="U28">
        <v>70645.6821150159</v>
      </c>
      <c r="V28">
        <v>656.3336255783445</v>
      </c>
      <c r="W28" s="3">
        <v>93.93149484677664</v>
      </c>
    </row>
    <row r="29" spans="1:23" ht="12.75">
      <c r="A29" s="8">
        <v>0.004</v>
      </c>
      <c r="B29" s="8">
        <v>76279.37128193212</v>
      </c>
      <c r="C29">
        <v>16299.511712843956</v>
      </c>
      <c r="D29">
        <v>4.679856220589988</v>
      </c>
      <c r="E29" s="3">
        <v>13940.523994883224</v>
      </c>
      <c r="F29">
        <v>38139.68564096606</v>
      </c>
      <c r="G29" s="21">
        <v>8149.755856421978</v>
      </c>
      <c r="H29" s="3">
        <v>6970.261997441612</v>
      </c>
      <c r="I29">
        <v>204.82570501668545</v>
      </c>
      <c r="J29">
        <v>175.18179107806912</v>
      </c>
      <c r="K29" s="16">
        <v>958.5548497590648</v>
      </c>
      <c r="L29" s="23">
        <v>-41.22927257437588</v>
      </c>
      <c r="O29">
        <v>87.47957075989746</v>
      </c>
      <c r="P29">
        <v>209.32199135085742</v>
      </c>
      <c r="Q29" s="3">
        <v>1598.3734951313543</v>
      </c>
      <c r="R29">
        <v>96.98418945240385</v>
      </c>
      <c r="S29" s="8">
        <v>175.7080231577439</v>
      </c>
      <c r="T29">
        <v>175.48769057407713</v>
      </c>
      <c r="U29">
        <v>92964.66514955353</v>
      </c>
      <c r="V29">
        <v>529.0860569644763</v>
      </c>
      <c r="W29" s="3">
        <v>161.92446191606913</v>
      </c>
    </row>
    <row r="30" spans="1:23" ht="12.75">
      <c r="A30" s="8">
        <v>0.005</v>
      </c>
      <c r="B30" s="8">
        <v>76282.06267298867</v>
      </c>
      <c r="C30">
        <v>19967.518996707597</v>
      </c>
      <c r="D30">
        <v>3.820307504681311</v>
      </c>
      <c r="E30" s="3">
        <v>16450.91959846475</v>
      </c>
      <c r="F30">
        <v>38141.031336494336</v>
      </c>
      <c r="G30" s="21">
        <v>9983.759498353798</v>
      </c>
      <c r="H30" s="3">
        <v>8225.459799232374</v>
      </c>
      <c r="I30">
        <v>313.64905495235615</v>
      </c>
      <c r="J30">
        <v>258.410440776666</v>
      </c>
      <c r="K30" s="16">
        <v>1198.235838470687</v>
      </c>
      <c r="L30" s="23">
        <v>-39.371876038389495</v>
      </c>
      <c r="O30">
        <v>109.34946344987182</v>
      </c>
      <c r="P30">
        <v>327.0656114857147</v>
      </c>
      <c r="Q30" s="3">
        <v>1598.3734951313543</v>
      </c>
      <c r="R30">
        <v>95.40329243073907</v>
      </c>
      <c r="S30" s="8">
        <v>259.3485618876249</v>
      </c>
      <c r="T30">
        <v>258.9621682726344</v>
      </c>
      <c r="U30">
        <v>114315.64409861088</v>
      </c>
      <c r="V30">
        <v>440.77994212338666</v>
      </c>
      <c r="W30" s="3">
        <v>245.60727675247944</v>
      </c>
    </row>
    <row r="31" spans="1:23" ht="12.75">
      <c r="A31" s="8">
        <v>0.006</v>
      </c>
      <c r="B31" s="8">
        <v>76285.35240355795</v>
      </c>
      <c r="C31">
        <v>23812.7598408349</v>
      </c>
      <c r="D31">
        <v>3.203549395931057</v>
      </c>
      <c r="E31" s="3">
        <v>18791.99739046775</v>
      </c>
      <c r="F31">
        <v>38142.67620177897</v>
      </c>
      <c r="G31" s="21">
        <v>11906.37992041745</v>
      </c>
      <c r="H31" s="3">
        <v>9395.998695233875</v>
      </c>
      <c r="I31">
        <v>448.85994826598983</v>
      </c>
      <c r="J31">
        <v>354.22080568903175</v>
      </c>
      <c r="K31" s="16">
        <v>1437.9450161251566</v>
      </c>
      <c r="L31" s="23">
        <v>-35.49439145893385</v>
      </c>
      <c r="O31">
        <v>131.21935613984618</v>
      </c>
      <c r="P31">
        <v>470.9744805394291</v>
      </c>
      <c r="Q31" s="3">
        <v>1598.3734951313543</v>
      </c>
      <c r="R31">
        <v>93.57218695552001</v>
      </c>
      <c r="S31" s="8">
        <v>355.7492707374399</v>
      </c>
      <c r="T31">
        <v>355.11882326622117</v>
      </c>
      <c r="U31">
        <v>134551.6598806213</v>
      </c>
      <c r="V31">
        <v>378.22047983881026</v>
      </c>
      <c r="W31" s="3">
        <v>342.09768445568136</v>
      </c>
    </row>
    <row r="32" spans="1:23" ht="12.75">
      <c r="A32" s="8">
        <v>0.006999999999999999</v>
      </c>
      <c r="B32" s="8">
        <v>76289.24062525193</v>
      </c>
      <c r="C32">
        <v>27677.59645375043</v>
      </c>
      <c r="D32">
        <v>2.756353527761424</v>
      </c>
      <c r="E32" s="3">
        <v>20864.708194374245</v>
      </c>
      <c r="F32">
        <v>38144.620312625964</v>
      </c>
      <c r="G32" s="21">
        <v>13838.798226875215</v>
      </c>
      <c r="H32" s="3">
        <v>10432.354097187123</v>
      </c>
      <c r="I32">
        <v>608.6621358168768</v>
      </c>
      <c r="J32">
        <v>458.8388978791865</v>
      </c>
      <c r="K32" s="16">
        <v>1677.688025273648</v>
      </c>
      <c r="L32" s="23">
        <v>-30.05267012170793</v>
      </c>
      <c r="O32">
        <v>153.08924882982055</v>
      </c>
      <c r="P32">
        <v>641.0485985120008</v>
      </c>
      <c r="Q32" s="3">
        <v>1598.3734951313543</v>
      </c>
      <c r="R32">
        <v>91.53836119889328</v>
      </c>
      <c r="S32" s="8">
        <v>461.1360603174206</v>
      </c>
      <c r="T32">
        <v>460.17224675415713</v>
      </c>
      <c r="U32">
        <v>153572.81243655697</v>
      </c>
      <c r="V32">
        <v>333.0314535168777</v>
      </c>
      <c r="W32" s="3">
        <v>447.5940791048743</v>
      </c>
    </row>
    <row r="33" spans="1:23" ht="12.75">
      <c r="A33" s="8">
        <v>0.008</v>
      </c>
      <c r="B33" s="8">
        <v>76293.72751728722</v>
      </c>
      <c r="C33">
        <v>31332.608488574464</v>
      </c>
      <c r="D33">
        <v>2.434962526184432</v>
      </c>
      <c r="E33" s="3">
        <v>22596.47131477572</v>
      </c>
      <c r="F33">
        <v>38146.86375864361</v>
      </c>
      <c r="G33" s="21">
        <v>15666.304244287232</v>
      </c>
      <c r="H33" s="3">
        <v>11298.23565738786</v>
      </c>
      <c r="I33">
        <v>787.4743411640859</v>
      </c>
      <c r="J33">
        <v>567.9112662364157</v>
      </c>
      <c r="K33" s="16">
        <v>1917.4705110663278</v>
      </c>
      <c r="L33" s="23">
        <v>-23.360274563127103</v>
      </c>
      <c r="O33">
        <v>174.9591415197949</v>
      </c>
      <c r="P33">
        <v>837.2879654034297</v>
      </c>
      <c r="Q33" s="3">
        <v>1598.3734951313543</v>
      </c>
      <c r="R33">
        <v>89.34876560933775</v>
      </c>
      <c r="S33" s="8">
        <v>571.120604600024</v>
      </c>
      <c r="T33">
        <v>569.7338860154249</v>
      </c>
      <c r="U33">
        <v>171323.62325608227</v>
      </c>
      <c r="V33">
        <v>299.9780114325693</v>
      </c>
      <c r="W33" s="3">
        <v>557.6961563257083</v>
      </c>
    </row>
    <row r="34" spans="1:23" ht="12.75">
      <c r="A34" s="8">
        <v>0.009</v>
      </c>
      <c r="B34" s="8">
        <v>76298.81328650763</v>
      </c>
      <c r="C34">
        <v>34486.70309519509</v>
      </c>
      <c r="D34">
        <v>2.2124125079714627</v>
      </c>
      <c r="E34" s="3">
        <v>23944.294794770838</v>
      </c>
      <c r="F34">
        <v>38149.40664325382</v>
      </c>
      <c r="G34" s="21">
        <v>17243.351547597544</v>
      </c>
      <c r="H34" s="3">
        <v>11972.147397385419</v>
      </c>
      <c r="I34">
        <v>975.0885578135753</v>
      </c>
      <c r="J34">
        <v>677.0089856037639</v>
      </c>
      <c r="K34" s="16">
        <v>2157.298121686605</v>
      </c>
      <c r="L34" s="23">
        <v>-15.730823379392234</v>
      </c>
      <c r="O34">
        <v>196.82903420976925</v>
      </c>
      <c r="P34">
        <v>1059.6925812137154</v>
      </c>
      <c r="Q34" s="3">
        <v>1598.3734951313543</v>
      </c>
      <c r="R34">
        <v>87.04763273693271</v>
      </c>
      <c r="S34" s="8">
        <v>681.2079051776503</v>
      </c>
      <c r="T34">
        <v>679.3223734103939</v>
      </c>
      <c r="U34">
        <v>187787.6946006502</v>
      </c>
      <c r="V34">
        <v>275.6686955235455</v>
      </c>
      <c r="W34" s="3">
        <v>667.9061243942081</v>
      </c>
    </row>
    <row r="35" spans="1:23" ht="12.75">
      <c r="A35" s="8">
        <v>0.01</v>
      </c>
      <c r="B35" s="8">
        <v>76304.49816740633</v>
      </c>
      <c r="C35">
        <v>36851.49877440785</v>
      </c>
      <c r="D35">
        <v>2.070594160484927</v>
      </c>
      <c r="E35" s="3">
        <v>24897.396842099446</v>
      </c>
      <c r="F35">
        <v>38152.249083703166</v>
      </c>
      <c r="G35" s="21">
        <v>18425.749387203927</v>
      </c>
      <c r="H35" s="3">
        <v>12448.698421049723</v>
      </c>
      <c r="I35">
        <v>1157.7239782345298</v>
      </c>
      <c r="J35">
        <v>782.1747901264938</v>
      </c>
      <c r="K35" s="16">
        <v>2397.1765087857957</v>
      </c>
      <c r="L35" s="23">
        <v>-7.539957732999244</v>
      </c>
      <c r="O35">
        <v>218.69892689974364</v>
      </c>
      <c r="P35">
        <v>1308.262445942859</v>
      </c>
      <c r="Q35" s="3">
        <v>1598.3734951313543</v>
      </c>
      <c r="R35">
        <v>84.67497296396768</v>
      </c>
      <c r="S35" s="8">
        <v>787.3587026428465</v>
      </c>
      <c r="T35">
        <v>784.9241910962139</v>
      </c>
      <c r="U35">
        <v>202980.8560712957</v>
      </c>
      <c r="V35">
        <v>257.79972379802314</v>
      </c>
      <c r="W35" s="3">
        <v>774.1883842582827</v>
      </c>
    </row>
    <row r="36" spans="1:23" ht="12.75">
      <c r="A36" s="8">
        <v>0.011</v>
      </c>
      <c r="B36" s="8">
        <v>76310.78242215277</v>
      </c>
      <c r="C36">
        <v>38239.86767911635</v>
      </c>
      <c r="D36">
        <v>1.9955817593957748</v>
      </c>
      <c r="E36" s="3">
        <v>25474.98081920815</v>
      </c>
      <c r="F36">
        <v>38155.391211076385</v>
      </c>
      <c r="G36" s="21">
        <v>19119.933839558176</v>
      </c>
      <c r="H36" s="3">
        <v>12737.490409604075</v>
      </c>
      <c r="I36">
        <v>1321.4749611245345</v>
      </c>
      <c r="J36">
        <v>880.3521385116168</v>
      </c>
      <c r="K36" s="16">
        <v>2637.1113279183664</v>
      </c>
      <c r="L36" s="23">
        <v>0.7881063269494614</v>
      </c>
      <c r="O36">
        <v>240.56881958971795</v>
      </c>
      <c r="P36">
        <v>1582.9975595908584</v>
      </c>
      <c r="Q36" s="3">
        <v>1598.3734951313543</v>
      </c>
      <c r="R36">
        <v>82.26571449994418</v>
      </c>
      <c r="S36" s="8">
        <v>886.4389259958011</v>
      </c>
      <c r="T36">
        <v>883.4373088172929</v>
      </c>
      <c r="U36">
        <v>216943.847607101</v>
      </c>
      <c r="V36">
        <v>244.73637296939773</v>
      </c>
      <c r="W36" s="3">
        <v>873.4156408756502</v>
      </c>
    </row>
    <row r="37" spans="1:23" ht="12.75">
      <c r="A37" s="8">
        <v>0.012</v>
      </c>
      <c r="B37" s="8">
        <v>76317.66634062173</v>
      </c>
      <c r="C37">
        <v>38636.377286783376</v>
      </c>
      <c r="D37">
        <v>1.9752800779986264</v>
      </c>
      <c r="E37" s="3">
        <v>25719.000523816143</v>
      </c>
      <c r="F37">
        <v>38158.83317031086</v>
      </c>
      <c r="G37" s="21">
        <v>19318.188643391688</v>
      </c>
      <c r="H37" s="3">
        <v>12859.500261908071</v>
      </c>
      <c r="I37">
        <v>1456.5571085457864</v>
      </c>
      <c r="J37">
        <v>969.5834772395132</v>
      </c>
      <c r="K37" s="16">
        <v>2877.108238977771</v>
      </c>
      <c r="L37" s="23">
        <v>8.850198029893505</v>
      </c>
      <c r="O37">
        <v>262.43871227969237</v>
      </c>
      <c r="P37">
        <v>1883.8979221577165</v>
      </c>
      <c r="Q37" s="3">
        <v>1598.3734951313543</v>
      </c>
      <c r="R37">
        <v>79.84938508891442</v>
      </c>
      <c r="S37" s="8">
        <v>976.4343737460453</v>
      </c>
      <c r="T37">
        <v>972.8786628964264</v>
      </c>
      <c r="U37">
        <v>229735.32371662438</v>
      </c>
      <c r="V37">
        <v>235.27984050300827</v>
      </c>
      <c r="W37" s="3">
        <v>963.579932683496</v>
      </c>
    </row>
    <row r="38" spans="1:23" ht="12.75">
      <c r="A38" s="8">
        <v>0.013</v>
      </c>
      <c r="B38" s="8">
        <v>76325.15024042611</v>
      </c>
      <c r="C38">
        <v>38187.40473545836</v>
      </c>
      <c r="D38">
        <v>1.9986995913748387</v>
      </c>
      <c r="E38" s="3">
        <v>25684.3931131186</v>
      </c>
      <c r="F38">
        <v>38162.575120213056</v>
      </c>
      <c r="G38" s="21">
        <v>19093.70236772918</v>
      </c>
      <c r="H38" s="3">
        <v>12842.1965565593</v>
      </c>
      <c r="I38">
        <v>1559.6005122954887</v>
      </c>
      <c r="J38">
        <v>1048.9687093091181</v>
      </c>
      <c r="K38" s="16">
        <v>3117.1729066329785</v>
      </c>
      <c r="L38" s="23">
        <v>16.340431216293545</v>
      </c>
      <c r="O38">
        <v>284.3086049696667</v>
      </c>
      <c r="P38">
        <v>2210.963533643431</v>
      </c>
      <c r="Q38" s="3">
        <v>1598.3734951313543</v>
      </c>
      <c r="R38">
        <v>77.45020232580161</v>
      </c>
      <c r="S38" s="8">
        <v>1056.4160856208578</v>
      </c>
      <c r="T38">
        <v>1052.3439297442328</v>
      </c>
      <c r="U38">
        <v>241425.67230323105</v>
      </c>
      <c r="V38">
        <v>228.53274915948035</v>
      </c>
      <c r="W38" s="3">
        <v>1043.7554206205775</v>
      </c>
    </row>
    <row r="39" spans="1:23" ht="12.75">
      <c r="A39" s="8">
        <v>0.014</v>
      </c>
      <c r="B39" s="8">
        <v>76333.2344669536</v>
      </c>
      <c r="C39">
        <v>37125.4286406871</v>
      </c>
      <c r="D39">
        <v>2.056090320349794</v>
      </c>
      <c r="E39" s="3">
        <v>25429.76956416903</v>
      </c>
      <c r="F39">
        <v>38166.6172334768</v>
      </c>
      <c r="G39" s="21">
        <v>18562.71432034355</v>
      </c>
      <c r="H39" s="3">
        <v>12714.884782084515</v>
      </c>
      <c r="I39">
        <v>1632.8616343053657</v>
      </c>
      <c r="J39">
        <v>1118.459681433847</v>
      </c>
      <c r="K39" s="16">
        <v>3357.3110007658</v>
      </c>
      <c r="L39" s="23">
        <v>23.086236697259004</v>
      </c>
      <c r="O39">
        <v>306.1784976596411</v>
      </c>
      <c r="P39">
        <v>2564.1943940480032</v>
      </c>
      <c r="Q39" s="3">
        <v>1598.3734951313543</v>
      </c>
      <c r="R39">
        <v>75.0874393066475</v>
      </c>
      <c r="S39" s="8">
        <v>1126.3325351285632</v>
      </c>
      <c r="T39">
        <v>1121.797233182631</v>
      </c>
      <c r="U39">
        <v>252091.886003542</v>
      </c>
      <c r="V39">
        <v>223.81657116454252</v>
      </c>
      <c r="W39" s="3">
        <v>1113.8897872909092</v>
      </c>
    </row>
    <row r="40" spans="1:23" ht="12.75">
      <c r="A40" s="8">
        <v>0.015</v>
      </c>
      <c r="B40" s="8">
        <v>76341.91939340445</v>
      </c>
      <c r="C40">
        <v>35686.4324263614</v>
      </c>
      <c r="D40">
        <v>2.1392421209639</v>
      </c>
      <c r="E40" s="3">
        <v>25010.509272286185</v>
      </c>
      <c r="F40">
        <v>38170.95969670222</v>
      </c>
      <c r="G40" s="21">
        <v>17843.2162131807</v>
      </c>
      <c r="H40" s="3">
        <v>12505.254636143092</v>
      </c>
      <c r="I40">
        <v>1681.6835091522832</v>
      </c>
      <c r="J40">
        <v>1178.5924828853051</v>
      </c>
      <c r="K40" s="16">
        <v>3597.5281969089533</v>
      </c>
      <c r="L40" s="23">
        <v>29.035794035941453</v>
      </c>
      <c r="O40">
        <v>328.04839034961543</v>
      </c>
      <c r="P40">
        <v>2943.5905033714316</v>
      </c>
      <c r="Q40" s="3">
        <v>1598.3734951313543</v>
      </c>
      <c r="R40">
        <v>72.77595033791796</v>
      </c>
      <c r="S40" s="8">
        <v>1186.7344546490085</v>
      </c>
      <c r="T40">
        <v>1181.796312697165</v>
      </c>
      <c r="U40">
        <v>261813.53339750532</v>
      </c>
      <c r="V40">
        <v>220.61677940827994</v>
      </c>
      <c r="W40" s="3">
        <v>1174.5297504212238</v>
      </c>
    </row>
    <row r="41" spans="1:23" ht="12.75">
      <c r="A41" s="8">
        <v>0.02</v>
      </c>
      <c r="B41" s="8">
        <v>76394.36953903026</v>
      </c>
      <c r="C41">
        <v>27682.25041683327</v>
      </c>
      <c r="D41">
        <v>2.7596878284352098</v>
      </c>
      <c r="E41" s="3">
        <v>21833.46247514318</v>
      </c>
      <c r="F41">
        <v>38197.18476951513</v>
      </c>
      <c r="G41" s="21">
        <v>13841.125208416635</v>
      </c>
      <c r="H41" s="3">
        <v>10916.73123757159</v>
      </c>
      <c r="I41">
        <v>1739.327090887128</v>
      </c>
      <c r="J41">
        <v>1371.8369062867666</v>
      </c>
      <c r="K41" s="16">
        <v>4799.999802388827</v>
      </c>
      <c r="L41" s="23">
        <v>48.920251569487974</v>
      </c>
      <c r="O41">
        <v>437.3978537994873</v>
      </c>
      <c r="P41">
        <v>5233.049783771436</v>
      </c>
      <c r="Q41" s="3">
        <v>1598.3734951313543</v>
      </c>
      <c r="R41">
        <v>62.27261549633807</v>
      </c>
      <c r="S41" s="8">
        <v>1379.8551510004233</v>
      </c>
      <c r="T41">
        <v>1373.706635480744</v>
      </c>
      <c r="U41">
        <v>298908.54207665764</v>
      </c>
      <c r="V41">
        <v>216.6231302321432</v>
      </c>
      <c r="W41" s="3">
        <v>1368.9362217985176</v>
      </c>
    </row>
    <row r="42" spans="1:23" ht="12.75">
      <c r="A42" s="8">
        <v>0.03</v>
      </c>
      <c r="B42" s="8">
        <v>76544.61674231838</v>
      </c>
      <c r="C42">
        <v>17892.912612510303</v>
      </c>
      <c r="D42">
        <v>4.277929390254792</v>
      </c>
      <c r="E42" s="3">
        <v>15997.070176444713</v>
      </c>
      <c r="F42">
        <v>38272.30837115919</v>
      </c>
      <c r="G42" s="21">
        <v>8946.456306255152</v>
      </c>
      <c r="H42" s="3">
        <v>7998.5350882223565</v>
      </c>
      <c r="I42">
        <v>1686.3672844435955</v>
      </c>
      <c r="J42">
        <v>1507.688344358376</v>
      </c>
      <c r="K42" s="16">
        <v>7214.160168885411</v>
      </c>
      <c r="L42" s="23">
        <v>65.15605235084864</v>
      </c>
      <c r="O42">
        <v>656.0967806992309</v>
      </c>
      <c r="P42">
        <v>11774.362013485726</v>
      </c>
      <c r="Q42" s="3">
        <v>1598.3734951313543</v>
      </c>
      <c r="R42">
        <v>46.87330414481833</v>
      </c>
      <c r="S42" s="8">
        <v>1513.978133073138</v>
      </c>
      <c r="T42">
        <v>1507.2750874906153</v>
      </c>
      <c r="U42">
        <v>338151.5237455994</v>
      </c>
      <c r="V42">
        <v>223.35297740344797</v>
      </c>
      <c r="W42" s="3">
        <v>1504.9420075871385</v>
      </c>
    </row>
    <row r="43" spans="1:23" ht="12.75">
      <c r="A43" s="8">
        <v>0.04</v>
      </c>
      <c r="B43" s="8">
        <v>76755.93764430938</v>
      </c>
      <c r="C43">
        <v>13144.382774223393</v>
      </c>
      <c r="D43">
        <v>5.83944784344158</v>
      </c>
      <c r="E43" s="3">
        <v>12329.753238936237</v>
      </c>
      <c r="F43">
        <v>38377.96882215469</v>
      </c>
      <c r="G43" s="21">
        <v>6572.191387111697</v>
      </c>
      <c r="H43" s="3">
        <v>6164.876619468118</v>
      </c>
      <c r="I43">
        <v>1651.7718543788976</v>
      </c>
      <c r="J43">
        <v>1549.4024878406797</v>
      </c>
      <c r="K43" s="16">
        <v>9645.435592910344</v>
      </c>
      <c r="L43" s="23">
        <v>71.76383494971867</v>
      </c>
      <c r="O43">
        <v>874.7957075989746</v>
      </c>
      <c r="P43">
        <v>20932.199135085742</v>
      </c>
      <c r="Q43" s="3"/>
      <c r="R43">
        <v>36.98145898254418</v>
      </c>
      <c r="S43" s="8">
        <v>1554.6251627042338</v>
      </c>
      <c r="T43">
        <v>1547.8938498129146</v>
      </c>
      <c r="U43">
        <v>356702.28074798465</v>
      </c>
      <c r="V43">
        <v>229.445842834236</v>
      </c>
      <c r="W43" s="3">
        <v>1546.544756487068</v>
      </c>
    </row>
    <row r="44" spans="1:23" ht="12.75">
      <c r="A44" s="8">
        <v>0.05</v>
      </c>
      <c r="B44" s="8">
        <v>77029.32035809271</v>
      </c>
      <c r="C44">
        <v>10399.577351807755</v>
      </c>
      <c r="D44">
        <v>7.40696643260245</v>
      </c>
      <c r="E44" s="3">
        <v>9975.642206193523</v>
      </c>
      <c r="F44">
        <v>38514.660179046354</v>
      </c>
      <c r="G44" s="21">
        <v>5199.788675903877</v>
      </c>
      <c r="H44" s="3">
        <v>4987.821103096761</v>
      </c>
      <c r="I44">
        <v>1633.5617904439018</v>
      </c>
      <c r="J44">
        <v>1566.9702134908894</v>
      </c>
      <c r="K44" s="16">
        <v>12099.737347399938</v>
      </c>
      <c r="L44" s="23">
        <v>75.28811854944028</v>
      </c>
      <c r="O44">
        <v>1093.4946344987181</v>
      </c>
      <c r="P44">
        <v>32706.56114857147</v>
      </c>
      <c r="Q44" s="3"/>
      <c r="R44">
        <v>30.346411383150457</v>
      </c>
      <c r="S44" s="8">
        <v>1571.6145197154467</v>
      </c>
      <c r="T44">
        <v>1564.922344135466</v>
      </c>
      <c r="U44">
        <v>367183.60717226786</v>
      </c>
      <c r="V44">
        <v>233.6346493151197</v>
      </c>
      <c r="W44" s="3">
        <v>1564.0490149317</v>
      </c>
    </row>
    <row r="45" spans="1:23" ht="12.75">
      <c r="A45" s="8">
        <v>0.06</v>
      </c>
      <c r="B45" s="8">
        <v>77366.0546186792</v>
      </c>
      <c r="C45">
        <v>8611.146136499985</v>
      </c>
      <c r="D45">
        <v>8.984408508728983</v>
      </c>
      <c r="E45" s="3">
        <v>8360.781914427289</v>
      </c>
      <c r="F45">
        <v>38683.0273093396</v>
      </c>
      <c r="G45" s="21">
        <v>4305.5730682499925</v>
      </c>
      <c r="H45" s="3">
        <v>4180.3909572136445</v>
      </c>
      <c r="I45">
        <v>1623.1628064849888</v>
      </c>
      <c r="J45">
        <v>1575.9702624378717</v>
      </c>
      <c r="K45" s="16">
        <v>14583.157729636156</v>
      </c>
      <c r="L45" s="23">
        <v>77.44275173528855</v>
      </c>
      <c r="O45">
        <v>1312.1935613984617</v>
      </c>
      <c r="P45">
        <v>47097.448053942906</v>
      </c>
      <c r="Q45" s="3"/>
      <c r="R45">
        <v>25.65735889912443</v>
      </c>
      <c r="S45" s="8">
        <v>1580.2790663063383</v>
      </c>
      <c r="T45">
        <v>1573.6354390260406</v>
      </c>
      <c r="U45">
        <v>374165.31175181584</v>
      </c>
      <c r="V45">
        <v>236.77166883338523</v>
      </c>
      <c r="W45" s="3">
        <v>1573.0254276874703</v>
      </c>
    </row>
    <row r="46" spans="1:23" ht="12.75">
      <c r="A46" s="8">
        <v>0.07</v>
      </c>
      <c r="B46" s="8">
        <v>77767.74681441915</v>
      </c>
      <c r="C46">
        <v>7351.745162629481</v>
      </c>
      <c r="D46">
        <v>10.578134183666947</v>
      </c>
      <c r="E46" s="3">
        <v>7190.157223390866</v>
      </c>
      <c r="F46">
        <v>38883.873407209576</v>
      </c>
      <c r="G46" s="21">
        <v>3675.8725813147403</v>
      </c>
      <c r="H46" s="3">
        <v>3595.078611695433</v>
      </c>
      <c r="I46">
        <v>1616.7332015786756</v>
      </c>
      <c r="J46">
        <v>1581.1981577812242</v>
      </c>
      <c r="K46" s="16">
        <v>17102.02074548872</v>
      </c>
      <c r="L46" s="23">
        <v>78.86440359480115</v>
      </c>
      <c r="O46">
        <v>1530.8924882982058</v>
      </c>
      <c r="P46">
        <v>64104.85985120009</v>
      </c>
      <c r="Q46" s="3"/>
      <c r="R46">
        <v>22.192025725695064</v>
      </c>
      <c r="S46" s="8">
        <v>1585.2978806853114</v>
      </c>
      <c r="T46">
        <v>1578.704690497959</v>
      </c>
      <c r="U46">
        <v>379528.48434525623</v>
      </c>
      <c r="V46">
        <v>239.40515468372973</v>
      </c>
      <c r="W46" s="3">
        <v>1578.255005815123</v>
      </c>
    </row>
    <row r="47" spans="1:23" ht="12.75">
      <c r="A47" s="8">
        <v>0.08</v>
      </c>
      <c r="B47" s="8">
        <v>78236.33899616945</v>
      </c>
      <c r="C47">
        <v>6415.92989120707</v>
      </c>
      <c r="D47">
        <v>12.194076357254342</v>
      </c>
      <c r="E47" s="3">
        <v>6304.5561722061175</v>
      </c>
      <c r="F47">
        <v>39118.169498084724</v>
      </c>
      <c r="G47" s="21">
        <v>3207.964945603535</v>
      </c>
      <c r="H47" s="3">
        <v>3152.2780861030587</v>
      </c>
      <c r="I47">
        <v>1612.4990569730635</v>
      </c>
      <c r="J47">
        <v>1584.5077883797514</v>
      </c>
      <c r="K47" s="16">
        <v>19662.93662673013</v>
      </c>
      <c r="L47" s="23">
        <v>79.84482028777093</v>
      </c>
      <c r="N47">
        <v>748824.0072473675</v>
      </c>
      <c r="O47">
        <v>1749.5914151979491</v>
      </c>
      <c r="P47">
        <v>83728.79654034297</v>
      </c>
      <c r="Q47" s="3"/>
      <c r="R47">
        <v>19.53662040157811</v>
      </c>
      <c r="S47" s="8">
        <v>1588.4693566047129</v>
      </c>
      <c r="T47">
        <v>1581.9283941183444</v>
      </c>
      <c r="U47">
        <v>384147.3288567128</v>
      </c>
      <c r="V47">
        <v>241.83490053456939</v>
      </c>
      <c r="W47" s="3">
        <v>1581.5833666973613</v>
      </c>
    </row>
    <row r="48" spans="1:23" ht="12.75">
      <c r="A48" s="8">
        <v>0.09</v>
      </c>
      <c r="B48" s="8">
        <v>78774.13227925476</v>
      </c>
      <c r="C48">
        <v>5692.686680285631</v>
      </c>
      <c r="D48">
        <v>13.837777608955284</v>
      </c>
      <c r="E48" s="3">
        <v>5611.9369273443845</v>
      </c>
      <c r="F48">
        <v>39387.06613962738</v>
      </c>
      <c r="G48" s="21">
        <v>2846.3433401428156</v>
      </c>
      <c r="H48" s="3">
        <v>2805.9684636721922</v>
      </c>
      <c r="I48">
        <v>1609.5692388576426</v>
      </c>
      <c r="J48">
        <v>1586.7377841019004</v>
      </c>
      <c r="K48" s="16">
        <v>22272.861173527563</v>
      </c>
      <c r="L48" s="23">
        <v>80.53702052499835</v>
      </c>
      <c r="N48">
        <v>665621.3397754378</v>
      </c>
      <c r="O48">
        <v>1968.2903420976927</v>
      </c>
      <c r="P48">
        <v>105969.25812137156</v>
      </c>
      <c r="Q48" s="3"/>
      <c r="R48">
        <v>17.44151839657863</v>
      </c>
      <c r="S48" s="8">
        <v>1590.6037331389798</v>
      </c>
      <c r="T48">
        <v>1584.117642595247</v>
      </c>
      <c r="U48">
        <v>388472.517902524</v>
      </c>
      <c r="V48">
        <v>244.2296027659215</v>
      </c>
      <c r="W48" s="3">
        <v>1583.8446323183048</v>
      </c>
    </row>
    <row r="49" spans="1:23" ht="12.75">
      <c r="A49" s="8">
        <v>0.1</v>
      </c>
      <c r="B49" s="8">
        <v>79383.81516049188</v>
      </c>
      <c r="C49">
        <v>5116.705457543254</v>
      </c>
      <c r="D49">
        <v>15.514634527860304</v>
      </c>
      <c r="E49" s="3">
        <v>5055.756987169728</v>
      </c>
      <c r="F49">
        <v>39691.90758024594</v>
      </c>
      <c r="G49" s="21">
        <v>2558.352728771627</v>
      </c>
      <c r="H49" s="3">
        <v>2527.878493584864</v>
      </c>
      <c r="I49">
        <v>1607.4604276000687</v>
      </c>
      <c r="J49">
        <v>1588.312900922768</v>
      </c>
      <c r="K49" s="16">
        <v>24939.161052213134</v>
      </c>
      <c r="L49" s="23">
        <v>81.02910627540047</v>
      </c>
      <c r="M49">
        <v>23962.36823191576</v>
      </c>
      <c r="N49">
        <v>599059.205797894</v>
      </c>
      <c r="O49">
        <v>2186.9892689974363</v>
      </c>
      <c r="P49">
        <v>130826.24459428588</v>
      </c>
      <c r="Q49" s="3"/>
      <c r="R49">
        <v>15.748667429199973</v>
      </c>
      <c r="S49" s="8">
        <v>1592.1101921784461</v>
      </c>
      <c r="T49">
        <v>1585.6823740980026</v>
      </c>
      <c r="U49">
        <v>392758.553374562</v>
      </c>
      <c r="V49">
        <v>246.69055904802647</v>
      </c>
      <c r="W49" s="3">
        <v>1585.4610064691383</v>
      </c>
    </row>
    <row r="50" spans="1:23" ht="12.75">
      <c r="A50" s="8">
        <v>0.15</v>
      </c>
      <c r="B50" s="8">
        <v>83636.62787595316</v>
      </c>
      <c r="C50">
        <v>3400.447757416576</v>
      </c>
      <c r="D50">
        <v>24.59576909938899</v>
      </c>
      <c r="E50" s="3">
        <v>3378.2714776549124</v>
      </c>
      <c r="F50">
        <v>41818.31393797658</v>
      </c>
      <c r="G50" s="21">
        <v>1700.223878708288</v>
      </c>
      <c r="H50" s="3">
        <v>1689.1357388274562</v>
      </c>
      <c r="I50">
        <v>1602.4232540423704</v>
      </c>
      <c r="J50">
        <v>1591.9729284048951</v>
      </c>
      <c r="K50" s="16">
        <v>39412.832355917664</v>
      </c>
      <c r="L50" s="23">
        <v>81.85623776819561</v>
      </c>
      <c r="M50">
        <v>35943.55234787364</v>
      </c>
      <c r="N50">
        <v>399372.8038652627</v>
      </c>
      <c r="O50">
        <v>3280.4839034961547</v>
      </c>
      <c r="Q50" s="3"/>
      <c r="R50">
        <v>10.597861323361235</v>
      </c>
      <c r="S50" s="8">
        <v>1595.6097106954667</v>
      </c>
      <c r="T50">
        <v>1589.5381803960752</v>
      </c>
      <c r="U50">
        <v>417691.7316689005</v>
      </c>
      <c r="V50">
        <v>261.77562650132285</v>
      </c>
      <c r="W50" s="3">
        <v>1589.4395440703665</v>
      </c>
    </row>
    <row r="51" spans="1:23" ht="12.75">
      <c r="A51" s="8">
        <v>0.2</v>
      </c>
      <c r="B51" s="8">
        <v>90394.05485502213</v>
      </c>
      <c r="C51">
        <v>2547.5078717049487</v>
      </c>
      <c r="D51">
        <v>35.48332700323509</v>
      </c>
      <c r="E51" s="3">
        <v>2535.6960709623527</v>
      </c>
      <c r="F51">
        <v>45197.027427511064</v>
      </c>
      <c r="G51" s="21">
        <v>1273.7539358524743</v>
      </c>
      <c r="H51" s="3">
        <v>1267.8480354811763</v>
      </c>
      <c r="I51">
        <v>1600.6464029420872</v>
      </c>
      <c r="J51">
        <v>1593.2248296543698</v>
      </c>
      <c r="K51" s="16">
        <v>56796.259732146056</v>
      </c>
      <c r="L51" s="23">
        <v>81.28134937972439</v>
      </c>
      <c r="M51">
        <v>47924.73646383152</v>
      </c>
      <c r="N51">
        <v>299529.602898947</v>
      </c>
      <c r="O51">
        <v>4373.978537994873</v>
      </c>
      <c r="Q51" s="3"/>
      <c r="R51">
        <v>7.995058198438871</v>
      </c>
      <c r="S51" s="8">
        <v>1596.8115201118317</v>
      </c>
      <c r="T51">
        <v>1591.2170632426255</v>
      </c>
      <c r="U51">
        <v>454089.4020121576</v>
      </c>
      <c r="V51">
        <v>284.3725739029961</v>
      </c>
      <c r="W51" s="3">
        <v>1591.161519446047</v>
      </c>
    </row>
    <row r="52" spans="1:23" ht="12.75">
      <c r="A52" s="8">
        <v>0.3</v>
      </c>
      <c r="B52" s="8">
        <v>117137.76590213597</v>
      </c>
      <c r="C52">
        <v>1696.9874126792013</v>
      </c>
      <c r="D52">
        <v>69.02689143533428</v>
      </c>
      <c r="E52" s="3">
        <v>1691.3848074903726</v>
      </c>
      <c r="F52">
        <v>58568.882951067986</v>
      </c>
      <c r="G52" s="21">
        <v>848.4937063396006</v>
      </c>
      <c r="H52" s="3">
        <v>845.6924037451863</v>
      </c>
      <c r="I52">
        <v>1599.3729566721988</v>
      </c>
      <c r="J52">
        <v>1594.092625681542</v>
      </c>
      <c r="K52" s="16">
        <v>110399.7434448214</v>
      </c>
      <c r="L52" s="23">
        <v>77.18625955753464</v>
      </c>
      <c r="M52">
        <v>71887.10469574729</v>
      </c>
      <c r="N52">
        <v>199686.40193263136</v>
      </c>
      <c r="O52">
        <v>6560.967806992309</v>
      </c>
      <c r="Q52" s="3"/>
      <c r="R52">
        <v>5.391008824577024</v>
      </c>
      <c r="S52" s="8">
        <v>1597.6625987150326</v>
      </c>
      <c r="T52">
        <v>1593.3853963025224</v>
      </c>
      <c r="U52">
        <v>595165.9911420739</v>
      </c>
      <c r="V52">
        <v>372.52295423373727</v>
      </c>
      <c r="W52" s="3">
        <v>1593.3606758121252</v>
      </c>
    </row>
    <row r="53" spans="1:23" ht="12.75">
      <c r="A53" s="8">
        <v>0.4</v>
      </c>
      <c r="B53" s="8">
        <v>193612.77363564388</v>
      </c>
      <c r="C53">
        <v>1272.385257299366</v>
      </c>
      <c r="D53">
        <v>152.16521295333646</v>
      </c>
      <c r="E53" s="3">
        <v>1268.7577556744468</v>
      </c>
      <c r="F53">
        <v>96806.38681782194</v>
      </c>
      <c r="G53" s="21">
        <v>636.192628649683</v>
      </c>
      <c r="H53" s="3">
        <v>634.3788778372234</v>
      </c>
      <c r="I53">
        <v>1598.9264707470588</v>
      </c>
      <c r="J53">
        <v>1594.368017764761</v>
      </c>
      <c r="K53" s="16">
        <v>243300.98691795295</v>
      </c>
      <c r="L53" s="23">
        <v>64.38059549126079</v>
      </c>
      <c r="M53">
        <v>95849.47292766304</v>
      </c>
      <c r="N53">
        <v>149764.8014494735</v>
      </c>
      <c r="O53">
        <v>8747.957075989745</v>
      </c>
      <c r="Q53" s="3"/>
      <c r="R53">
        <v>4.099369522994558</v>
      </c>
      <c r="S53" s="8">
        <v>1597.9590734599992</v>
      </c>
      <c r="T53">
        <v>1595.4430067481624</v>
      </c>
      <c r="U53">
        <v>997380.6506859555</v>
      </c>
      <c r="V53">
        <v>624.1590709368827</v>
      </c>
      <c r="W53" s="3">
        <v>1595.429083374045</v>
      </c>
    </row>
    <row r="54" spans="1:23" ht="12.75">
      <c r="A54" s="8">
        <v>0.5</v>
      </c>
      <c r="B54" s="8">
        <v>381372.93522976</v>
      </c>
      <c r="C54">
        <v>1017.7765919474638</v>
      </c>
      <c r="D54">
        <v>374.7118358263897</v>
      </c>
      <c r="E54" s="3">
        <v>1015.068397591275</v>
      </c>
      <c r="F54">
        <v>190686.46761488</v>
      </c>
      <c r="G54" s="21">
        <v>508.8882959737319</v>
      </c>
      <c r="H54" s="3">
        <v>507.5341987956375</v>
      </c>
      <c r="I54">
        <v>1598.7197321289043</v>
      </c>
      <c r="J54">
        <v>1594.4657103819532</v>
      </c>
      <c r="K54" s="16">
        <v>599059.205797895</v>
      </c>
      <c r="L54" s="23">
        <v>-1.3377316208143695</v>
      </c>
      <c r="M54">
        <v>119811.84115957882</v>
      </c>
      <c r="N54">
        <v>119811.84115957882</v>
      </c>
      <c r="O54">
        <v>10934.946344987182</v>
      </c>
      <c r="Q54" s="3"/>
      <c r="R54">
        <v>3.3347939346814464</v>
      </c>
      <c r="S54" s="8">
        <v>1598.0961087057328</v>
      </c>
      <c r="T54">
        <v>1597.7181666373492</v>
      </c>
      <c r="U54">
        <v>1997739.0060099063</v>
      </c>
      <c r="V54">
        <v>1250.0743823397675</v>
      </c>
      <c r="W54" s="3">
        <v>1597.7092429285112</v>
      </c>
    </row>
    <row r="55" spans="1:23" ht="12.75">
      <c r="A55" s="8">
        <v>0.6</v>
      </c>
      <c r="B55" s="8">
        <v>152184.36884889548</v>
      </c>
      <c r="C55">
        <v>848.0875990322487</v>
      </c>
      <c r="D55">
        <v>179.44416239849892</v>
      </c>
      <c r="E55" s="3">
        <v>845.9018337444413</v>
      </c>
      <c r="F55">
        <v>76092.18442444774</v>
      </c>
      <c r="G55" s="21">
        <v>424.04379951612435</v>
      </c>
      <c r="H55" s="3">
        <v>422.95091687222066</v>
      </c>
      <c r="I55">
        <v>1598.6074624321911</v>
      </c>
      <c r="J55">
        <v>1594.4873919298045</v>
      </c>
      <c r="K55" s="16">
        <v>286860.77710013365</v>
      </c>
      <c r="L55" s="23">
        <v>-62.51690829214167</v>
      </c>
      <c r="M55">
        <v>143774.20939149457</v>
      </c>
      <c r="N55">
        <v>99843.20096631568</v>
      </c>
      <c r="O55">
        <v>13121.935613984619</v>
      </c>
      <c r="Q55" s="3"/>
      <c r="R55">
        <v>2.83382124759129</v>
      </c>
      <c r="S55" s="8">
        <v>1598.1705508319203</v>
      </c>
      <c r="T55">
        <v>1600.231307371736</v>
      </c>
      <c r="U55">
        <v>812912.165246909</v>
      </c>
      <c r="V55">
        <v>508.65169854603505</v>
      </c>
      <c r="W55" s="3">
        <v>1600.2251005881778</v>
      </c>
    </row>
    <row r="56" spans="1:23" ht="12.75">
      <c r="A56" s="8">
        <v>0.7</v>
      </c>
      <c r="B56" s="8">
        <v>76274.5870459521</v>
      </c>
      <c r="C56">
        <v>726.9014728064866</v>
      </c>
      <c r="D56">
        <v>104.93112189120261</v>
      </c>
      <c r="E56" s="3">
        <v>725.0498124807443</v>
      </c>
      <c r="F56">
        <v>38137.29352297605</v>
      </c>
      <c r="G56" s="21">
        <v>363.4507364032433</v>
      </c>
      <c r="H56" s="3">
        <v>362.52490624037216</v>
      </c>
      <c r="I56">
        <v>1598.5398287967214</v>
      </c>
      <c r="J56">
        <v>1594.4678150633185</v>
      </c>
      <c r="K56" s="16">
        <v>167736.57762341082</v>
      </c>
      <c r="L56" s="23">
        <v>-74.71893190253236</v>
      </c>
      <c r="M56">
        <v>167736.57762341035</v>
      </c>
      <c r="N56">
        <v>85579.8865425563</v>
      </c>
      <c r="O56">
        <v>15308.924882982054</v>
      </c>
      <c r="Q56" s="3"/>
      <c r="R56">
        <v>2.483195628341052</v>
      </c>
      <c r="S56" s="8">
        <v>1598.21548846222</v>
      </c>
      <c r="T56">
        <v>1602.9366739186241</v>
      </c>
      <c r="U56">
        <v>416522.7362673435</v>
      </c>
      <c r="V56">
        <v>260.617381870148</v>
      </c>
      <c r="W56" s="3">
        <v>1602.932106116369</v>
      </c>
    </row>
    <row r="57" spans="1:23" ht="12.75">
      <c r="A57" s="8">
        <v>0.8</v>
      </c>
      <c r="B57" s="8">
        <v>47896.66119264684</v>
      </c>
      <c r="C57">
        <v>636.0213512173459</v>
      </c>
      <c r="D57">
        <v>75.3066875836362</v>
      </c>
      <c r="E57" s="3">
        <v>634.4001492364654</v>
      </c>
      <c r="F57">
        <v>23948.33059632342</v>
      </c>
      <c r="G57" s="21">
        <v>318.01067560867295</v>
      </c>
      <c r="H57" s="3">
        <v>317.2000746182327</v>
      </c>
      <c r="I57">
        <v>1598.496003608534</v>
      </c>
      <c r="J57">
        <v>1594.4214786220357</v>
      </c>
      <c r="K57" s="16">
        <v>120377.43914743893</v>
      </c>
      <c r="L57" s="23">
        <v>-79.27754402664058</v>
      </c>
      <c r="M57">
        <v>191698.94585532608</v>
      </c>
      <c r="N57">
        <v>74882.40072473676</v>
      </c>
      <c r="O57">
        <v>17495.91415197949</v>
      </c>
      <c r="Q57" s="3"/>
      <c r="R57">
        <v>2.2261844626853233</v>
      </c>
      <c r="S57" s="8">
        <v>1598.2447222928417</v>
      </c>
      <c r="T57">
        <v>1605.772077787837</v>
      </c>
      <c r="U57">
        <v>267982.3846878763</v>
      </c>
      <c r="V57">
        <v>167.67293578384476</v>
      </c>
      <c r="W57" s="3">
        <v>1605.7685743745546</v>
      </c>
    </row>
    <row r="58" spans="1:23" ht="12.75">
      <c r="A58" s="8">
        <v>0.9</v>
      </c>
      <c r="B58" s="8">
        <v>33619.739440650366</v>
      </c>
      <c r="C58">
        <v>565.3417124528587</v>
      </c>
      <c r="D58">
        <v>59.46799731932706</v>
      </c>
      <c r="E58" s="3">
        <v>563.8878399793937</v>
      </c>
      <c r="F58">
        <v>16809.869720325183</v>
      </c>
      <c r="G58" s="21">
        <v>282.67085622642935</v>
      </c>
      <c r="H58" s="3">
        <v>281.94391998969684</v>
      </c>
      <c r="I58">
        <v>1598.4660335487968</v>
      </c>
      <c r="J58">
        <v>1594.3553059750923</v>
      </c>
      <c r="K58" s="16">
        <v>95057.57379811519</v>
      </c>
      <c r="L58" s="23">
        <v>-81.65599403027736</v>
      </c>
      <c r="M58">
        <v>215661.31408724186</v>
      </c>
      <c r="N58">
        <v>66562.13397754378</v>
      </c>
      <c r="O58">
        <v>19682.903420976927</v>
      </c>
      <c r="Q58" s="3"/>
      <c r="R58">
        <v>2.031232821135691</v>
      </c>
      <c r="S58" s="8">
        <v>1598.2648394060807</v>
      </c>
      <c r="T58">
        <v>1608.6748039952615</v>
      </c>
      <c r="U58">
        <v>193084.06379625938</v>
      </c>
      <c r="V58">
        <v>120.80855377386011</v>
      </c>
      <c r="W58" s="3">
        <v>1608.6720308604474</v>
      </c>
    </row>
    <row r="59" spans="1:23" ht="12.75">
      <c r="A59" s="8">
        <v>1</v>
      </c>
      <c r="B59" s="8">
        <v>25201.83293099796</v>
      </c>
      <c r="C59">
        <v>508.8007426187971</v>
      </c>
      <c r="D59">
        <v>49.53183205135301</v>
      </c>
      <c r="E59" s="3">
        <v>507.4728394564499</v>
      </c>
      <c r="F59">
        <v>12600.91646549898</v>
      </c>
      <c r="G59" s="21">
        <v>254.40037130939854</v>
      </c>
      <c r="H59" s="3">
        <v>253.73641972822494</v>
      </c>
      <c r="I59">
        <v>1598.4446751522441</v>
      </c>
      <c r="J59">
        <v>1594.2729443327412</v>
      </c>
      <c r="K59" s="16">
        <v>79173.89319302051</v>
      </c>
      <c r="L59" s="23">
        <v>-83.12608226536769</v>
      </c>
      <c r="M59">
        <v>239623.68231915764</v>
      </c>
      <c r="N59">
        <v>59905.92057978941</v>
      </c>
      <c r="O59">
        <v>21869.892689974364</v>
      </c>
      <c r="Q59" s="3"/>
      <c r="R59">
        <v>1.879397480800332</v>
      </c>
      <c r="S59" s="8">
        <v>1598.2793071456977</v>
      </c>
      <c r="T59">
        <v>1611.5881002497106</v>
      </c>
      <c r="U59">
        <v>148799.21541211742</v>
      </c>
      <c r="V59">
        <v>93.09963205233002</v>
      </c>
      <c r="W59" s="3">
        <v>1611.5858499414833</v>
      </c>
    </row>
    <row r="60" spans="1:23" ht="12.75">
      <c r="A60" s="8">
        <v>1.5</v>
      </c>
      <c r="B60" s="8">
        <v>9507.620695531301</v>
      </c>
      <c r="C60">
        <v>339.1899587102156</v>
      </c>
      <c r="D60">
        <v>28.030371923993425</v>
      </c>
      <c r="E60" s="3">
        <v>338.18696333196624</v>
      </c>
      <c r="F60">
        <v>4753.8103477656505</v>
      </c>
      <c r="G60" s="21">
        <v>169.5949793551078</v>
      </c>
      <c r="H60" s="3">
        <v>169.09348166598312</v>
      </c>
      <c r="I60">
        <v>1598.395023683158</v>
      </c>
      <c r="J60">
        <v>1593.668519315323</v>
      </c>
      <c r="K60" s="16">
        <v>44803.606995299124</v>
      </c>
      <c r="L60" s="23">
        <v>-86.24914612132963</v>
      </c>
      <c r="M60">
        <v>359435.52347873646</v>
      </c>
      <c r="N60">
        <v>39937.28038652627</v>
      </c>
      <c r="Q60" s="3"/>
      <c r="R60">
        <v>1.4579271712551565</v>
      </c>
      <c r="S60" s="8">
        <v>1598.314503970272</v>
      </c>
      <c r="T60">
        <v>1624.95275505163</v>
      </c>
      <c r="U60">
        <v>65320.39600868428</v>
      </c>
      <c r="V60">
        <v>40.86829960337968</v>
      </c>
      <c r="W60" s="3">
        <v>1624.95174661948</v>
      </c>
    </row>
    <row r="61" spans="1:23" ht="12.75">
      <c r="A61" s="8">
        <v>2</v>
      </c>
      <c r="B61" s="8">
        <v>5077.755900587712</v>
      </c>
      <c r="C61">
        <v>254.38994800568682</v>
      </c>
      <c r="D61">
        <v>19.96052100484021</v>
      </c>
      <c r="E61" s="3">
        <v>253.4998299577045</v>
      </c>
      <c r="F61">
        <v>2538.877950293856</v>
      </c>
      <c r="G61" s="21">
        <v>127.19497400284341</v>
      </c>
      <c r="H61" s="3">
        <v>126.74991497885225</v>
      </c>
      <c r="I61">
        <v>1598.3791836035102</v>
      </c>
      <c r="J61">
        <v>1592.7864069627792</v>
      </c>
      <c r="K61" s="16">
        <v>31904.48126801716</v>
      </c>
      <c r="L61" s="23">
        <v>-87.41156753108888</v>
      </c>
      <c r="M61">
        <v>479247.3646383153</v>
      </c>
      <c r="N61">
        <v>29952.960289894705</v>
      </c>
      <c r="Q61" s="3"/>
      <c r="R61">
        <v>1.2779491293008685</v>
      </c>
      <c r="S61" s="8">
        <v>1598.328359759341</v>
      </c>
      <c r="T61">
        <v>1634.8364187325408</v>
      </c>
      <c r="U61">
        <v>40772.30405725846</v>
      </c>
      <c r="V61">
        <v>25.50934156195384</v>
      </c>
      <c r="W61" s="3">
        <v>1634.8358480390027</v>
      </c>
    </row>
    <row r="62" spans="1:23" ht="12.75">
      <c r="A62" s="8">
        <v>3</v>
      </c>
      <c r="B62" s="8">
        <v>2177.994164395978</v>
      </c>
      <c r="C62">
        <v>169.59256476774317</v>
      </c>
      <c r="D62">
        <v>12.842509737256059</v>
      </c>
      <c r="E62" s="3">
        <v>168.73053066106132</v>
      </c>
      <c r="F62">
        <v>1088.997082197989</v>
      </c>
      <c r="G62" s="21">
        <v>84.79628238387158</v>
      </c>
      <c r="H62" s="3">
        <v>84.36526533053066</v>
      </c>
      <c r="I62">
        <v>1598.3722667333793</v>
      </c>
      <c r="J62">
        <v>1590.2477866832999</v>
      </c>
      <c r="K62" s="16">
        <v>20527.11139928353</v>
      </c>
      <c r="L62" s="23">
        <v>-88.46165206757821</v>
      </c>
      <c r="M62">
        <v>718871.0469574729</v>
      </c>
      <c r="N62">
        <v>19968.640193263134</v>
      </c>
      <c r="Q62" s="3"/>
      <c r="R62">
        <v>1.1319945526808086</v>
      </c>
      <c r="S62" s="8">
        <v>1598.3426538646352</v>
      </c>
      <c r="T62">
        <v>1645.128897861763</v>
      </c>
      <c r="U62">
        <v>23236.578286261185</v>
      </c>
      <c r="V62">
        <v>14.537920407790757</v>
      </c>
      <c r="W62" s="3">
        <v>1645.1286426232657</v>
      </c>
    </row>
    <row r="63" spans="1:23" ht="12.75">
      <c r="A63" s="8">
        <v>4</v>
      </c>
      <c r="B63" s="8">
        <v>1210.3174671870704</v>
      </c>
      <c r="C63">
        <v>127.1947208800332</v>
      </c>
      <c r="D63">
        <v>9.515469343484869</v>
      </c>
      <c r="E63" s="3">
        <v>126.26596084278171</v>
      </c>
      <c r="F63">
        <v>605.1587335935352</v>
      </c>
      <c r="G63" s="21">
        <v>63.5973604400166</v>
      </c>
      <c r="H63" s="3">
        <v>63.132980421390855</v>
      </c>
      <c r="I63">
        <v>1598.3760027684664</v>
      </c>
      <c r="J63">
        <v>1586.7048599285513</v>
      </c>
      <c r="K63" s="16">
        <v>15209.297853705224</v>
      </c>
      <c r="L63" s="23">
        <v>-88.98562574460671</v>
      </c>
      <c r="Q63" s="3"/>
      <c r="R63">
        <v>1.0762416141151536</v>
      </c>
      <c r="S63" s="8">
        <v>1598.3538136284983</v>
      </c>
      <c r="T63">
        <v>1647.710108785997</v>
      </c>
      <c r="U63">
        <v>16368.879271629894</v>
      </c>
      <c r="V63">
        <v>10.24108625515782</v>
      </c>
      <c r="W63" s="3">
        <v>1647.7099649890567</v>
      </c>
    </row>
    <row r="64" spans="1:23" ht="12.75">
      <c r="A64" s="8">
        <v>5</v>
      </c>
      <c r="B64" s="8">
        <v>770.293203580928</v>
      </c>
      <c r="C64">
        <v>101.75631683246104</v>
      </c>
      <c r="D64">
        <v>7.569979216614081</v>
      </c>
      <c r="E64" s="3">
        <v>100.72481991488108</v>
      </c>
      <c r="F64">
        <v>385.146601790464</v>
      </c>
      <c r="G64" s="21">
        <v>50.87815841623052</v>
      </c>
      <c r="H64" s="3">
        <v>50.36240995744054</v>
      </c>
      <c r="I64">
        <v>1598.384487086075</v>
      </c>
      <c r="J64">
        <v>1582.1817713937246</v>
      </c>
      <c r="K64" s="16">
        <v>12099.73734739995</v>
      </c>
      <c r="L64" s="23">
        <v>-89.31995366919654</v>
      </c>
      <c r="Q64" s="3"/>
      <c r="R64">
        <v>1.0494331922703843</v>
      </c>
      <c r="S64" s="8">
        <v>1598.365734007339</v>
      </c>
      <c r="T64">
        <v>1646.1479324965667</v>
      </c>
      <c r="U64">
        <v>12697.865990115126</v>
      </c>
      <c r="V64">
        <v>7.944280661147371</v>
      </c>
      <c r="W64" s="3">
        <v>1646.1478405537769</v>
      </c>
    </row>
    <row r="65" spans="1:23" ht="12.75">
      <c r="A65" s="8">
        <v>6</v>
      </c>
      <c r="B65" s="8">
        <v>533.3136149691701</v>
      </c>
      <c r="C65">
        <v>84.7975554055201</v>
      </c>
      <c r="D65">
        <v>6.289256953443406</v>
      </c>
      <c r="E65" s="3">
        <v>83.64678605543867</v>
      </c>
      <c r="F65">
        <v>266.65680748458504</v>
      </c>
      <c r="G65" s="21">
        <v>42.39877770276005</v>
      </c>
      <c r="H65" s="3">
        <v>41.823393027719334</v>
      </c>
      <c r="I65">
        <v>1598.3962626261323</v>
      </c>
      <c r="J65">
        <v>1576.7047714089745</v>
      </c>
      <c r="K65" s="16">
        <v>10052.724809079362</v>
      </c>
      <c r="L65" s="23">
        <v>-89.56346580159669</v>
      </c>
      <c r="Q65" s="3"/>
      <c r="R65">
        <v>1.0345793357033926</v>
      </c>
      <c r="S65" s="8">
        <v>1598.3793759901234</v>
      </c>
      <c r="T65">
        <v>1642.026935430369</v>
      </c>
      <c r="U65">
        <v>10400.341354986345</v>
      </c>
      <c r="V65">
        <v>6.506804023634127</v>
      </c>
      <c r="W65" s="3">
        <v>1642.026871741049</v>
      </c>
    </row>
    <row r="66" spans="1:23" ht="12.75">
      <c r="A66" s="8">
        <v>7</v>
      </c>
      <c r="B66" s="8">
        <v>391.1114108152207</v>
      </c>
      <c r="C66">
        <v>72.68428134307221</v>
      </c>
      <c r="D66">
        <v>5.380962755470634</v>
      </c>
      <c r="E66" s="3">
        <v>71.40619535558098</v>
      </c>
      <c r="F66">
        <v>195.55570540761036</v>
      </c>
      <c r="G66" s="21">
        <v>36.34214067153611</v>
      </c>
      <c r="H66" s="3">
        <v>35.70309767779049</v>
      </c>
      <c r="I66">
        <v>1598.4108300919454</v>
      </c>
      <c r="J66">
        <v>1570.3042512492316</v>
      </c>
      <c r="K66" s="16">
        <v>8600.989144665658</v>
      </c>
      <c r="L66" s="23">
        <v>-89.75622849338357</v>
      </c>
      <c r="Q66" s="3"/>
      <c r="R66">
        <v>1.0255189148904966</v>
      </c>
      <c r="S66" s="8">
        <v>1598.3950688019506</v>
      </c>
      <c r="T66">
        <v>1636.078655528565</v>
      </c>
      <c r="U66">
        <v>8820.477054622459</v>
      </c>
      <c r="V66">
        <v>5.518333500136295</v>
      </c>
      <c r="W66" s="3">
        <v>1636.078608905914</v>
      </c>
    </row>
    <row r="67" spans="1:23" ht="12.75">
      <c r="A67" s="8">
        <v>8</v>
      </c>
      <c r="B67" s="8">
        <v>299.09247833160344</v>
      </c>
      <c r="C67">
        <v>63.59942858323924</v>
      </c>
      <c r="D67">
        <v>4.7027541755371285</v>
      </c>
      <c r="E67" s="3">
        <v>62.19038132812488</v>
      </c>
      <c r="F67">
        <v>149.54623916580172</v>
      </c>
      <c r="G67" s="21">
        <v>31.79971429161962</v>
      </c>
      <c r="H67" s="3">
        <v>31.09519066406244</v>
      </c>
      <c r="I67">
        <v>1598.4279808769047</v>
      </c>
      <c r="J67">
        <v>1563.014760835076</v>
      </c>
      <c r="K67" s="16">
        <v>7517.013861364238</v>
      </c>
      <c r="L67" s="23">
        <v>-89.91768516013273</v>
      </c>
      <c r="Q67" s="3"/>
      <c r="R67">
        <v>1.0195952495335456</v>
      </c>
      <c r="S67" s="8">
        <v>1598.412949918468</v>
      </c>
      <c r="T67">
        <v>1628.6809839051216</v>
      </c>
      <c r="U67">
        <v>7664.311623724815</v>
      </c>
      <c r="V67">
        <v>4.7949509068452905</v>
      </c>
      <c r="W67" s="3">
        <v>1628.6809483710588</v>
      </c>
    </row>
    <row r="68" spans="1:23" ht="12.75">
      <c r="A68" s="8">
        <v>9</v>
      </c>
      <c r="B68" s="8">
        <v>236.12956650372723</v>
      </c>
      <c r="C68">
        <v>56.533519832204284</v>
      </c>
      <c r="D68">
        <v>4.176806383267435</v>
      </c>
      <c r="E68" s="3">
        <v>54.992441124140164</v>
      </c>
      <c r="F68">
        <v>118.06478325186362</v>
      </c>
      <c r="G68" s="21">
        <v>28.266759916102142</v>
      </c>
      <c r="H68" s="3">
        <v>27.496220562070082</v>
      </c>
      <c r="I68">
        <v>1598.4476152778327</v>
      </c>
      <c r="J68">
        <v>1554.8746413471083</v>
      </c>
      <c r="K68" s="16">
        <v>6676.4062028110675</v>
      </c>
      <c r="L68" s="23">
        <v>-90.05844441532768</v>
      </c>
      <c r="Q68" s="3"/>
      <c r="R68">
        <v>1.0155140300751277</v>
      </c>
      <c r="S68" s="8">
        <v>1598.4330849698188</v>
      </c>
      <c r="T68">
        <v>1620.056098974474</v>
      </c>
      <c r="U68">
        <v>6779.984169435249</v>
      </c>
      <c r="V68">
        <v>4.241644040772132</v>
      </c>
      <c r="W68" s="3">
        <v>1620.0560710468567</v>
      </c>
    </row>
    <row r="69" spans="1:23" ht="12.75">
      <c r="A69" s="8">
        <v>10</v>
      </c>
      <c r="B69" s="8">
        <v>191.1547730954638</v>
      </c>
      <c r="C69">
        <v>50.8808702142982</v>
      </c>
      <c r="D69">
        <v>3.756908486241787</v>
      </c>
      <c r="E69" s="3">
        <v>49.20833824088085</v>
      </c>
      <c r="F69">
        <v>95.5773865477319</v>
      </c>
      <c r="G69" s="21">
        <v>25.4404351071491</v>
      </c>
      <c r="H69" s="3">
        <v>24.604169120440424</v>
      </c>
      <c r="I69">
        <v>1598.4696807349494</v>
      </c>
      <c r="J69">
        <v>1545.9255391291347</v>
      </c>
      <c r="K69" s="16">
        <v>6005.304308553329</v>
      </c>
      <c r="L69" s="23">
        <v>-90.18479680753084</v>
      </c>
      <c r="Q69" s="3"/>
      <c r="R69">
        <v>1.0125846624975046</v>
      </c>
      <c r="S69" s="8">
        <v>1598.4555084756937</v>
      </c>
      <c r="T69">
        <v>1610.3527805655137</v>
      </c>
      <c r="U69">
        <v>6080.879036471293</v>
      </c>
      <c r="V69">
        <v>3.8042216403446143</v>
      </c>
      <c r="W69" s="3">
        <v>1610.3527580796363</v>
      </c>
    </row>
    <row r="70" spans="1:23" ht="12.75">
      <c r="A70" s="8">
        <v>15</v>
      </c>
      <c r="B70" s="8">
        <v>84.84192251273082</v>
      </c>
      <c r="C70">
        <v>33.923679815277495</v>
      </c>
      <c r="D70">
        <v>2.500964605688866</v>
      </c>
      <c r="E70" s="3">
        <v>31.632915973816342</v>
      </c>
      <c r="F70">
        <v>42.42096125636541</v>
      </c>
      <c r="G70" s="21">
        <v>16.961839907638748</v>
      </c>
      <c r="H70" s="3">
        <v>15.816457986908171</v>
      </c>
      <c r="I70">
        <v>1598.6157493561218</v>
      </c>
      <c r="J70">
        <v>1490.6660465244688</v>
      </c>
      <c r="K70" s="16">
        <v>3998.081407236444</v>
      </c>
      <c r="L70" s="23">
        <v>-90.70203120323097</v>
      </c>
      <c r="Q70" s="3"/>
      <c r="R70">
        <v>1.0056126345814707</v>
      </c>
      <c r="S70" s="8">
        <v>1598.60242436469</v>
      </c>
      <c r="T70">
        <v>1549.0500430736047</v>
      </c>
      <c r="U70">
        <v>4020.5211772022362</v>
      </c>
      <c r="V70">
        <v>2.515022569667412</v>
      </c>
      <c r="W70" s="3">
        <v>1549.050033460317</v>
      </c>
    </row>
    <row r="71" spans="1:23" ht="12.75">
      <c r="A71" s="8">
        <v>20</v>
      </c>
      <c r="B71" s="8">
        <v>47.700833294950996</v>
      </c>
      <c r="C71">
        <v>25.446022701757826</v>
      </c>
      <c r="D71">
        <v>1.8745889624493537</v>
      </c>
      <c r="E71" s="3">
        <v>22.6380733146082</v>
      </c>
      <c r="F71">
        <v>23.850416647475498</v>
      </c>
      <c r="G71" s="21">
        <v>12.723011350878913</v>
      </c>
      <c r="H71" s="3">
        <v>11.3190366573041</v>
      </c>
      <c r="I71">
        <v>1598.8207596584298</v>
      </c>
      <c r="J71">
        <v>1422.3920963320081</v>
      </c>
      <c r="K71" s="16">
        <v>2997.131748990589</v>
      </c>
      <c r="L71" s="23">
        <v>-91.13379543731779</v>
      </c>
      <c r="Q71" s="3"/>
      <c r="R71">
        <v>1.003160972481738</v>
      </c>
      <c r="S71" s="8">
        <v>1598.8077299932943</v>
      </c>
      <c r="T71">
        <v>1473.106383162491</v>
      </c>
      <c r="U71">
        <v>3006.6055999732944</v>
      </c>
      <c r="V71">
        <v>1.8805298120405622</v>
      </c>
      <c r="W71" s="3">
        <v>1473.1063780201239</v>
      </c>
    </row>
    <row r="72" spans="1:23" ht="13.5" thickBot="1">
      <c r="A72" s="8">
        <v>30</v>
      </c>
      <c r="B72" s="8">
        <v>21.193154505770444</v>
      </c>
      <c r="C72">
        <v>16.970232597757747</v>
      </c>
      <c r="D72">
        <v>1.2488429008669322</v>
      </c>
      <c r="E72" s="3">
        <v>13.467785320647462</v>
      </c>
      <c r="F72">
        <v>10.596577252885222</v>
      </c>
      <c r="G72" s="21">
        <v>8.485116298878873</v>
      </c>
      <c r="H72" s="3">
        <v>6.733892660323731</v>
      </c>
      <c r="I72">
        <v>1599.406741764773</v>
      </c>
      <c r="J72">
        <v>1269.308862704119</v>
      </c>
      <c r="K72" s="16">
        <v>1997.4077550516554</v>
      </c>
      <c r="L72" s="23">
        <v>-91.91199415065287</v>
      </c>
      <c r="Q72" s="3"/>
      <c r="R72">
        <v>1.0014061089705903</v>
      </c>
      <c r="S72" s="8">
        <v>1599.393919569865</v>
      </c>
      <c r="T72">
        <v>1305.0654571052462</v>
      </c>
      <c r="U72">
        <v>2000.216328013956</v>
      </c>
      <c r="V72">
        <v>1.25060893600989</v>
      </c>
      <c r="W72" s="3">
        <v>1305.065455080461</v>
      </c>
    </row>
    <row r="73" spans="1:23" ht="13.5" thickBot="1">
      <c r="A73" s="52">
        <v>37.448</v>
      </c>
      <c r="B73" s="52">
        <v>13.599987144414627</v>
      </c>
      <c r="C73" s="53">
        <v>13.600041120810554</v>
      </c>
      <c r="D73" s="54">
        <v>0.999996031159358</v>
      </c>
      <c r="E73" s="55">
        <v>9.830094417816643</v>
      </c>
      <c r="F73" s="53">
        <v>6.799993572207313</v>
      </c>
      <c r="G73" s="56">
        <v>6.800020560405277</v>
      </c>
      <c r="H73" s="55">
        <v>4.915047208908321</v>
      </c>
      <c r="I73" s="53">
        <v>1599.9953567199273</v>
      </c>
      <c r="J73" s="53">
        <v>1156.474843341335</v>
      </c>
      <c r="K73" s="57">
        <v>1599.9890065933291</v>
      </c>
      <c r="L73" s="58">
        <v>-92.46177301716828</v>
      </c>
      <c r="M73" s="53"/>
      <c r="N73" s="53"/>
      <c r="O73" s="53"/>
      <c r="P73" s="53"/>
      <c r="Q73" s="55"/>
      <c r="R73" s="53">
        <v>1.0009026378490158</v>
      </c>
      <c r="S73" s="52">
        <v>1599.9825906533313</v>
      </c>
      <c r="T73" s="53">
        <v>1183.333270757954</v>
      </c>
      <c r="U73" s="53">
        <v>1601.433217228685</v>
      </c>
      <c r="V73" s="54">
        <v>1.0009066514747267</v>
      </c>
      <c r="W73" s="55">
        <v>1183.333269579701</v>
      </c>
    </row>
    <row r="74" spans="1:23" ht="12.75">
      <c r="A74" s="8">
        <v>40</v>
      </c>
      <c r="B74" s="8">
        <v>11.91972942873594</v>
      </c>
      <c r="C74">
        <v>12.734200982722127</v>
      </c>
      <c r="D74">
        <v>0.9360406235859425</v>
      </c>
      <c r="E74" s="3">
        <v>8.909947757232338</v>
      </c>
      <c r="F74">
        <v>5.95986471436797</v>
      </c>
      <c r="G74" s="21">
        <v>6.367100491361064</v>
      </c>
      <c r="H74" s="3">
        <v>4.454973878616169</v>
      </c>
      <c r="I74">
        <v>1600.2268902662304</v>
      </c>
      <c r="J74">
        <v>1119.6570567195968</v>
      </c>
      <c r="K74" s="16">
        <v>1497.8773762437957</v>
      </c>
      <c r="L74" s="23">
        <v>-92.64716991791337</v>
      </c>
      <c r="Q74" s="3"/>
      <c r="R74">
        <v>1.0007911794822364</v>
      </c>
      <c r="S74" s="8">
        <v>1600.2141358204142</v>
      </c>
      <c r="T74">
        <v>1143.9763560923316</v>
      </c>
      <c r="U74">
        <v>1499.062466090778</v>
      </c>
      <c r="V74">
        <v>0.936788666300728</v>
      </c>
      <c r="W74" s="3">
        <v>1143.9763550939742</v>
      </c>
    </row>
    <row r="75" spans="1:23" ht="12.75">
      <c r="A75" s="8">
        <v>50</v>
      </c>
      <c r="B75" s="8">
        <v>7.628206267298867</v>
      </c>
      <c r="C75">
        <v>10.194070097433208</v>
      </c>
      <c r="D75">
        <v>0.7482983925350483</v>
      </c>
      <c r="E75" s="3">
        <v>6.287114809035139</v>
      </c>
      <c r="F75">
        <v>3.8141031336494335</v>
      </c>
      <c r="G75" s="21">
        <v>5.097035048716604</v>
      </c>
      <c r="H75" s="3">
        <v>3.1435574045175696</v>
      </c>
      <c r="I75">
        <v>1601.2807864137778</v>
      </c>
      <c r="J75">
        <v>987.5776848170183</v>
      </c>
      <c r="K75" s="16">
        <v>1198.235838470687</v>
      </c>
      <c r="L75" s="23">
        <v>-93.36458752953665</v>
      </c>
      <c r="Q75" s="3"/>
      <c r="R75">
        <v>1.0005064269721515</v>
      </c>
      <c r="S75" s="8">
        <v>1601.2680579920839</v>
      </c>
      <c r="T75">
        <v>1004.1336074093847</v>
      </c>
      <c r="U75">
        <v>1198.842657418288</v>
      </c>
      <c r="V75">
        <v>0.7486833022333448</v>
      </c>
      <c r="W75" s="3">
        <v>1004.1336068485429</v>
      </c>
    </row>
    <row r="76" spans="1:23" ht="12.75">
      <c r="A76" s="8">
        <v>60</v>
      </c>
      <c r="B76" s="8">
        <v>5.297206826483196</v>
      </c>
      <c r="C76">
        <v>8.501887053402271</v>
      </c>
      <c r="D76">
        <v>0.6230624793307933</v>
      </c>
      <c r="E76" s="3">
        <v>4.6464793179086925</v>
      </c>
      <c r="F76">
        <v>2.648603413241598</v>
      </c>
      <c r="G76" s="21">
        <v>4.2509435267011355</v>
      </c>
      <c r="H76" s="3">
        <v>2.3232396589543463</v>
      </c>
      <c r="I76">
        <v>1602.5679545171247</v>
      </c>
      <c r="J76">
        <v>875.8407174119317</v>
      </c>
      <c r="K76" s="16">
        <v>998.4999630375185</v>
      </c>
      <c r="L76" s="23">
        <v>-94.07252427776668</v>
      </c>
      <c r="Q76" s="3"/>
      <c r="R76">
        <v>1.000351712608832</v>
      </c>
      <c r="S76" s="8">
        <v>1602.5552345783997</v>
      </c>
      <c r="T76">
        <v>887.3124175510628</v>
      </c>
      <c r="U76">
        <v>998.8511480644377</v>
      </c>
      <c r="V76">
        <v>0.623286565425132</v>
      </c>
      <c r="W76" s="3">
        <v>887.3124172069017</v>
      </c>
    </row>
    <row r="77" spans="1:23" ht="12.75">
      <c r="A77" s="8">
        <v>70</v>
      </c>
      <c r="B77" s="8">
        <v>3.8917551511259596</v>
      </c>
      <c r="C77">
        <v>7.2942430567847945</v>
      </c>
      <c r="D77">
        <v>0.5335379039098535</v>
      </c>
      <c r="E77" s="3">
        <v>3.5588337973146507</v>
      </c>
      <c r="F77">
        <v>1.9458775755629798</v>
      </c>
      <c r="G77" s="21">
        <v>3.6471215283923972</v>
      </c>
      <c r="H77" s="3">
        <v>1.7794168986573253</v>
      </c>
      <c r="I77">
        <v>1604.0878280485426</v>
      </c>
      <c r="J77">
        <v>782.6284279093544</v>
      </c>
      <c r="K77" s="16">
        <v>855.8416574643285</v>
      </c>
      <c r="L77" s="23">
        <v>-94.77441290897586</v>
      </c>
      <c r="Q77" s="3"/>
      <c r="R77">
        <v>1.0002584131579708</v>
      </c>
      <c r="S77" s="8">
        <v>1604.0751073412225</v>
      </c>
      <c r="T77">
        <v>790.7673575346425</v>
      </c>
      <c r="U77">
        <v>856.0628182097564</v>
      </c>
      <c r="V77">
        <v>0.5336800093037373</v>
      </c>
      <c r="W77" s="3">
        <v>790.7673573093008</v>
      </c>
    </row>
    <row r="78" spans="1:23" ht="12.75">
      <c r="A78" s="8">
        <v>80</v>
      </c>
      <c r="B78" s="8">
        <v>2.979590118826712</v>
      </c>
      <c r="C78">
        <v>6.389433327526806</v>
      </c>
      <c r="D78">
        <v>0.46633088821666124</v>
      </c>
      <c r="E78" s="3">
        <v>2.8047892960323577</v>
      </c>
      <c r="F78">
        <v>1.489795059413356</v>
      </c>
      <c r="G78" s="21">
        <v>3.194716663763403</v>
      </c>
      <c r="H78" s="3">
        <v>1.4023946480161789</v>
      </c>
      <c r="I78">
        <v>1605.8397441888</v>
      </c>
      <c r="J78">
        <v>704.9204357826042</v>
      </c>
      <c r="K78" s="16">
        <v>748.852674241179</v>
      </c>
      <c r="L78" s="23">
        <v>-95.4718721816149</v>
      </c>
      <c r="Q78" s="3"/>
      <c r="R78">
        <v>1.0001978535666556</v>
      </c>
      <c r="S78" s="8">
        <v>1605.8270169273496</v>
      </c>
      <c r="T78">
        <v>710.8382308552546</v>
      </c>
      <c r="U78">
        <v>749.0008374136773</v>
      </c>
      <c r="V78">
        <v>0.4664268501640008</v>
      </c>
      <c r="W78" s="3">
        <v>710.8382307001665</v>
      </c>
    </row>
    <row r="79" spans="1:23" ht="12.75">
      <c r="A79" s="8">
        <v>90</v>
      </c>
      <c r="B79" s="8">
        <v>2.354225129170982</v>
      </c>
      <c r="C79">
        <v>5.686510423642014</v>
      </c>
      <c r="D79">
        <v>0.41400172580061495</v>
      </c>
      <c r="E79" s="3">
        <v>2.262772168307185</v>
      </c>
      <c r="F79">
        <v>1.177112564585491</v>
      </c>
      <c r="G79" s="21">
        <v>2.843255211821007</v>
      </c>
      <c r="H79" s="3">
        <v>1.1313860841535925</v>
      </c>
      <c r="I79">
        <v>1607.8229434327982</v>
      </c>
      <c r="J79">
        <v>639.7837578631173</v>
      </c>
      <c r="K79" s="16">
        <v>665.6414733630035</v>
      </c>
      <c r="L79" s="23">
        <v>-96.16571643753136</v>
      </c>
      <c r="Q79" s="3"/>
      <c r="R79">
        <v>1.0001563319905808</v>
      </c>
      <c r="S79" s="8">
        <v>1607.810205491009</v>
      </c>
      <c r="T79">
        <v>644.1878483700026</v>
      </c>
      <c r="U79">
        <v>665.7455344195489</v>
      </c>
      <c r="V79">
        <v>0.4140697279727966</v>
      </c>
      <c r="W79" s="3">
        <v>644.1878482589524</v>
      </c>
    </row>
    <row r="80" spans="1:23" ht="12.75">
      <c r="A80" s="8">
        <v>100</v>
      </c>
      <c r="B80" s="8">
        <v>1.9069113954543873</v>
      </c>
      <c r="C80">
        <v>5.124905575378917</v>
      </c>
      <c r="D80">
        <v>0.37208712773471897</v>
      </c>
      <c r="E80" s="3">
        <v>1.8613017139385812</v>
      </c>
      <c r="F80">
        <v>0.9534556977271936</v>
      </c>
      <c r="G80" s="21">
        <v>2.5624527876894585</v>
      </c>
      <c r="H80" s="3">
        <v>0.9306508569692906</v>
      </c>
      <c r="I80">
        <v>1610.0365705951779</v>
      </c>
      <c r="J80">
        <v>584.7451790623539</v>
      </c>
      <c r="K80" s="16">
        <v>599.0738831006164</v>
      </c>
      <c r="L80" s="23">
        <v>-96.85635943133691</v>
      </c>
      <c r="Q80" s="3"/>
      <c r="R80">
        <v>1.0001266307935166</v>
      </c>
      <c r="S80" s="8">
        <v>1610.0238187243947</v>
      </c>
      <c r="T80">
        <v>588.0930575776423</v>
      </c>
      <c r="U80">
        <v>599.1497443018094</v>
      </c>
      <c r="V80">
        <v>0.3721371928376248</v>
      </c>
      <c r="W80" s="3">
        <v>588.0930574955247</v>
      </c>
    </row>
    <row r="81" spans="1:23" ht="12.75">
      <c r="A81" s="8">
        <v>150</v>
      </c>
      <c r="B81" s="8">
        <v>0.8475046400034769</v>
      </c>
      <c r="C81">
        <v>3.4473485202899394</v>
      </c>
      <c r="D81">
        <v>0.24584245979637587</v>
      </c>
      <c r="E81" s="3">
        <v>0.8592625039561901</v>
      </c>
      <c r="F81">
        <v>0.42375232000173846</v>
      </c>
      <c r="G81" s="21">
        <v>1.7236742601449697</v>
      </c>
      <c r="H81" s="3">
        <v>0.42963125197809504</v>
      </c>
      <c r="I81">
        <v>1624.5247178559775</v>
      </c>
      <c r="J81">
        <v>404.917915490091</v>
      </c>
      <c r="K81" s="16">
        <v>399.3771526377278</v>
      </c>
      <c r="L81" s="23">
        <v>-100.2649748365074</v>
      </c>
      <c r="Q81" s="3"/>
      <c r="R81">
        <v>1.000056282333032</v>
      </c>
      <c r="S81" s="8">
        <v>1624.5118598587965</v>
      </c>
      <c r="T81">
        <v>406.00554825846456</v>
      </c>
      <c r="U81">
        <v>399.39963051563774</v>
      </c>
      <c r="V81">
        <v>0.24585824233400996</v>
      </c>
      <c r="W81" s="3">
        <v>406.0055482332679</v>
      </c>
    </row>
    <row r="82" spans="1:23" ht="12.75">
      <c r="A82" s="8">
        <v>200</v>
      </c>
      <c r="B82" s="8">
        <v>0.4767190889412498</v>
      </c>
      <c r="C82">
        <v>2.617452195578941</v>
      </c>
      <c r="D82">
        <v>0.18213096298242284</v>
      </c>
      <c r="E82" s="3">
        <v>0.4897336102772735</v>
      </c>
      <c r="F82">
        <v>0.2383595444706249</v>
      </c>
      <c r="G82" s="21">
        <v>1.3087260977894706</v>
      </c>
      <c r="H82" s="3">
        <v>0.24486680513863676</v>
      </c>
      <c r="I82">
        <v>1644.5937177506553</v>
      </c>
      <c r="J82">
        <v>307.70870245261807</v>
      </c>
      <c r="K82" s="16">
        <v>299.5314375287699</v>
      </c>
      <c r="L82" s="23">
        <v>-103.59377678416662</v>
      </c>
      <c r="Q82" s="3">
        <v>1598.3734951313543</v>
      </c>
      <c r="R82">
        <v>1.0000316592022485</v>
      </c>
      <c r="S82" s="8">
        <v>1644.5807039641622</v>
      </c>
      <c r="T82">
        <v>308.1739391062849</v>
      </c>
      <c r="U82">
        <v>299.5409204551301</v>
      </c>
      <c r="V82">
        <v>0.18213817037564903</v>
      </c>
      <c r="W82" s="3">
        <v>308.1739390955265</v>
      </c>
    </row>
    <row r="83" spans="1:23" ht="12.75">
      <c r="A83" s="8">
        <v>300</v>
      </c>
      <c r="B83" s="8">
        <v>0.2118744296746711</v>
      </c>
      <c r="C83">
        <v>1.8044236495172419</v>
      </c>
      <c r="D83">
        <v>0.11741944843793027</v>
      </c>
      <c r="E83" s="3">
        <v>0.21927481841121307</v>
      </c>
      <c r="F83">
        <v>0.10593721483733555</v>
      </c>
      <c r="G83" s="21">
        <v>0.9022118247586209</v>
      </c>
      <c r="H83" s="3">
        <v>0.10963740920560654</v>
      </c>
      <c r="I83">
        <v>1700.629224386115</v>
      </c>
      <c r="J83">
        <v>206.66164759137177</v>
      </c>
      <c r="K83" s="16">
        <v>199.6869455248422</v>
      </c>
      <c r="L83" s="23">
        <v>-109.95520059078471</v>
      </c>
      <c r="Q83" s="3">
        <v>1598.3734951313543</v>
      </c>
      <c r="R83">
        <v>1.0000140708803396</v>
      </c>
      <c r="S83" s="8">
        <v>1700.6157694434746</v>
      </c>
      <c r="T83">
        <v>206.79352622494775</v>
      </c>
      <c r="U83">
        <v>199.68975529595792</v>
      </c>
      <c r="V83">
        <v>0.11742202964594815</v>
      </c>
      <c r="W83" s="3">
        <v>206.79352622173957</v>
      </c>
    </row>
    <row r="84" spans="1:23" ht="12.75">
      <c r="A84" s="8">
        <v>400</v>
      </c>
      <c r="B84" s="8">
        <v>0.11917922475248223</v>
      </c>
      <c r="C84">
        <v>1.4133845048084002</v>
      </c>
      <c r="D84">
        <v>0.08432187019670083</v>
      </c>
      <c r="E84" s="3">
        <v>0.12334429727782273</v>
      </c>
      <c r="F84">
        <v>0.059589612376241115</v>
      </c>
      <c r="G84" s="21">
        <v>0.7066922524042001</v>
      </c>
      <c r="H84" s="3">
        <v>0.061672148638911364</v>
      </c>
      <c r="I84">
        <v>1776.111350801487</v>
      </c>
      <c r="J84">
        <v>154.99901527608148</v>
      </c>
      <c r="K84" s="16">
        <v>149.76503077717</v>
      </c>
      <c r="L84" s="23">
        <v>-115.84024175198928</v>
      </c>
      <c r="Q84" s="3">
        <v>1598.3734951313543</v>
      </c>
      <c r="R84">
        <v>1.0000079148945693</v>
      </c>
      <c r="S84" s="8">
        <v>1776.0972994885356</v>
      </c>
      <c r="T84">
        <v>155.05013347339076</v>
      </c>
      <c r="U84">
        <v>149.7662161515982</v>
      </c>
      <c r="V84">
        <v>0.08432320469983628</v>
      </c>
      <c r="W84" s="3">
        <v>155.05013347203794</v>
      </c>
    </row>
    <row r="85" spans="1:23" ht="12.75">
      <c r="A85" s="8">
        <v>500</v>
      </c>
      <c r="B85" s="8">
        <v>0.07627466179511905</v>
      </c>
      <c r="C85">
        <v>1.1896418500186543</v>
      </c>
      <c r="D85">
        <v>0.06411565110450934</v>
      </c>
      <c r="E85" s="3">
        <v>0.07876786658166805</v>
      </c>
      <c r="F85">
        <v>0.038137330897559524</v>
      </c>
      <c r="G85" s="21">
        <v>0.5948209250093272</v>
      </c>
      <c r="H85" s="3">
        <v>0.039383933290834026</v>
      </c>
      <c r="I85">
        <v>1868.6850482107873</v>
      </c>
      <c r="J85">
        <v>123.72827549595478</v>
      </c>
      <c r="K85" s="16">
        <v>119.81195857529602</v>
      </c>
      <c r="L85" s="23">
        <v>-121.1930935874341</v>
      </c>
      <c r="Q85" s="3">
        <v>1598.3734951313543</v>
      </c>
      <c r="R85">
        <v>1.0000050655397394</v>
      </c>
      <c r="S85" s="8">
        <v>1868.6702649231884</v>
      </c>
      <c r="T85">
        <v>123.75183677241218</v>
      </c>
      <c r="U85">
        <v>119.81256548753336</v>
      </c>
      <c r="V85">
        <v>0.06411648311450939</v>
      </c>
      <c r="W85" s="3">
        <v>123.75183677172143</v>
      </c>
    </row>
    <row r="86" spans="1:23" ht="12.75">
      <c r="A86" s="8">
        <v>600</v>
      </c>
      <c r="B86" s="8">
        <v>0.0529684992743617</v>
      </c>
      <c r="C86">
        <v>1.0482737900636792</v>
      </c>
      <c r="D86">
        <v>0.050529260367316926</v>
      </c>
      <c r="E86" s="3">
        <v>0.05454156291347092</v>
      </c>
      <c r="F86">
        <v>0.02648424963718085</v>
      </c>
      <c r="G86" s="21">
        <v>0.5241368950318396</v>
      </c>
      <c r="H86" s="3">
        <v>0.02727078145673546</v>
      </c>
      <c r="I86">
        <v>1975.94954268887</v>
      </c>
      <c r="J86">
        <v>102.80842401855897</v>
      </c>
      <c r="K86" s="16">
        <v>99.84326891520661</v>
      </c>
      <c r="L86" s="23">
        <v>-126.00264778394835</v>
      </c>
      <c r="Q86" s="3">
        <v>1598.3734951313543</v>
      </c>
      <c r="R86">
        <v>1.0000035177386513</v>
      </c>
      <c r="S86" s="8">
        <v>1975.9339110557053</v>
      </c>
      <c r="T86">
        <v>102.8205603108754</v>
      </c>
      <c r="U86">
        <v>99.84362013773274</v>
      </c>
      <c r="V86">
        <v>0.05052983785494531</v>
      </c>
      <c r="W86" s="3">
        <v>102.82056031047625</v>
      </c>
    </row>
    <row r="87" spans="1:23" ht="12.75">
      <c r="A87" s="8">
        <v>700</v>
      </c>
      <c r="B87" s="8">
        <v>0.03891562509350232</v>
      </c>
      <c r="C87">
        <v>0.9529516947041918</v>
      </c>
      <c r="D87">
        <v>0.04083693361349466</v>
      </c>
      <c r="E87" s="3">
        <v>0.03995071954423163</v>
      </c>
      <c r="F87">
        <v>0.01945781254675116</v>
      </c>
      <c r="G87" s="21">
        <v>0.4764758473520959</v>
      </c>
      <c r="H87" s="3">
        <v>0.019975359772115814</v>
      </c>
      <c r="I87">
        <v>2095.6502303160423</v>
      </c>
      <c r="J87">
        <v>87.856220918049</v>
      </c>
      <c r="K87" s="16">
        <v>85.57992933252103</v>
      </c>
      <c r="L87" s="23">
        <v>-130.28997954467954</v>
      </c>
      <c r="Q87" s="3">
        <v>1598.3734951313543</v>
      </c>
      <c r="R87">
        <v>1.0000025844622624</v>
      </c>
      <c r="S87" s="8">
        <v>2095.6336518845806</v>
      </c>
      <c r="T87">
        <v>87.862985565094</v>
      </c>
      <c r="U87">
        <v>85.58015051061865</v>
      </c>
      <c r="V87">
        <v>0.0408373622143629</v>
      </c>
      <c r="W87" s="3">
        <v>87.86298556484363</v>
      </c>
    </row>
    <row r="88" spans="1:23" ht="12.75">
      <c r="A88" s="8">
        <v>800</v>
      </c>
      <c r="B88" s="8">
        <v>0.029794771970636034</v>
      </c>
      <c r="C88">
        <v>0.8856103557885758</v>
      </c>
      <c r="D88">
        <v>0.03364320637839179</v>
      </c>
      <c r="E88" s="3">
        <v>0.030499675701344396</v>
      </c>
      <c r="F88">
        <v>0.014897385985318017</v>
      </c>
      <c r="G88" s="21">
        <v>0.4428051778942879</v>
      </c>
      <c r="H88" s="3">
        <v>0.015249837850672198</v>
      </c>
      <c r="I88">
        <v>2225.781590150746</v>
      </c>
      <c r="J88">
        <v>76.6540456961718</v>
      </c>
      <c r="K88" s="16">
        <v>74.8824293906666</v>
      </c>
      <c r="L88" s="23">
        <v>-134.0951614857703</v>
      </c>
      <c r="Q88" s="3">
        <v>1598.3734951313543</v>
      </c>
      <c r="R88">
        <v>1.000001978729515</v>
      </c>
      <c r="S88" s="8">
        <v>2225.7639823678073</v>
      </c>
      <c r="T88">
        <v>76.65805003792269</v>
      </c>
      <c r="U88">
        <v>74.8825775627398</v>
      </c>
      <c r="V88">
        <v>0.033643539097563485</v>
      </c>
      <c r="W88" s="3">
        <v>76.65805003775546</v>
      </c>
    </row>
    <row r="89" spans="1:23" ht="12.75">
      <c r="A89" s="8">
        <v>900</v>
      </c>
      <c r="B89" s="8">
        <v>0.023541546332304677</v>
      </c>
      <c r="C89">
        <v>0.8363140142909156</v>
      </c>
      <c r="D89">
        <v>0.028149171160625375</v>
      </c>
      <c r="E89" s="3">
        <v>0.024035668590786756</v>
      </c>
      <c r="F89">
        <v>0.011770773166152338</v>
      </c>
      <c r="G89" s="21">
        <v>0.4181570071454578</v>
      </c>
      <c r="H89" s="3">
        <v>0.012017834295393378</v>
      </c>
      <c r="I89">
        <v>2364.6221670514765</v>
      </c>
      <c r="J89">
        <v>67.95925188204116</v>
      </c>
      <c r="K89" s="16">
        <v>66.5621541105409</v>
      </c>
      <c r="L89" s="23">
        <v>-137.4668795488955</v>
      </c>
      <c r="Q89" s="3">
        <v>1598.3734951313543</v>
      </c>
      <c r="R89">
        <v>1.00000156344093</v>
      </c>
      <c r="S89" s="8">
        <v>2364.60346099823</v>
      </c>
      <c r="T89">
        <v>67.96173926019873</v>
      </c>
      <c r="U89">
        <v>66.56225817653717</v>
      </c>
      <c r="V89">
        <v>0.02814943785476721</v>
      </c>
      <c r="W89" s="3">
        <v>67.96173926008159</v>
      </c>
    </row>
    <row r="90" spans="1:23" ht="13.5" thickBot="1">
      <c r="A90" s="12">
        <v>1000</v>
      </c>
      <c r="B90" s="12">
        <v>0.019068651433307604</v>
      </c>
      <c r="C90" s="4">
        <v>0.7991893990974093</v>
      </c>
      <c r="D90" s="4">
        <v>0.02385999045388167</v>
      </c>
      <c r="E90" s="5">
        <v>0.019423749094544182</v>
      </c>
      <c r="F90" s="4">
        <v>0.009534325716653802</v>
      </c>
      <c r="G90" s="59">
        <v>0.39959469954870463</v>
      </c>
      <c r="H90" s="5">
        <v>0.009711874547272091</v>
      </c>
      <c r="I90" s="4">
        <v>2510.7275450312623</v>
      </c>
      <c r="J90" s="4">
        <v>61.021507460591444</v>
      </c>
      <c r="K90" s="60">
        <v>59.905935256743646</v>
      </c>
      <c r="L90" s="23">
        <v>-140.45550610420167</v>
      </c>
      <c r="M90" s="4"/>
      <c r="N90" s="4"/>
      <c r="O90" s="4"/>
      <c r="P90" s="4"/>
      <c r="Q90" s="5">
        <v>1598.3734951313543</v>
      </c>
      <c r="R90" s="4">
        <v>1.000001266387339</v>
      </c>
      <c r="S90" s="12">
        <v>2510.7076832238486</v>
      </c>
      <c r="T90" s="4">
        <v>61.02311548529998</v>
      </c>
      <c r="U90" s="4">
        <v>59.90601112086143</v>
      </c>
      <c r="V90" s="4">
        <v>0.02386020942268348</v>
      </c>
      <c r="W90" s="5">
        <v>61.02311548521475</v>
      </c>
    </row>
    <row r="92" spans="11:12" ht="12.75">
      <c r="K92">
        <f>A73</f>
        <v>37.448</v>
      </c>
      <c r="L92" s="25">
        <v>-180</v>
      </c>
    </row>
    <row r="93" spans="11:12" ht="12.75">
      <c r="K93">
        <f>A73</f>
        <v>37.448</v>
      </c>
      <c r="L93" s="25">
        <v>180</v>
      </c>
    </row>
    <row r="102" ht="12.75">
      <c r="O102" s="48" t="b">
        <f>O25=Control!AV51</f>
        <v>0</v>
      </c>
    </row>
  </sheetData>
  <sheetProtection sheet="1" objects="1" scenarios="1"/>
  <mergeCells count="5">
    <mergeCell ref="R1:W1"/>
    <mergeCell ref="B1:E1"/>
    <mergeCell ref="F1:H1"/>
    <mergeCell ref="I1:K1"/>
    <mergeCell ref="M1:Q1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9"/>
  </sheetPr>
  <dimension ref="A1:N382"/>
  <sheetViews>
    <sheetView workbookViewId="0" topLeftCell="A24">
      <selection activeCell="A91" sqref="A91"/>
    </sheetView>
  </sheetViews>
  <sheetFormatPr defaultColWidth="9.140625" defaultRowHeight="12.75"/>
  <cols>
    <col min="2" max="2" width="16.7109375" style="0" bestFit="1" customWidth="1"/>
    <col min="4" max="4" width="32.421875" style="0" customWidth="1"/>
    <col min="5" max="5" width="13.28125" style="0" customWidth="1"/>
    <col min="6" max="6" width="11.7109375" style="0" customWidth="1"/>
    <col min="7" max="7" width="27.140625" style="0" customWidth="1"/>
    <col min="8" max="9" width="9.57421875" style="0" customWidth="1"/>
    <col min="10" max="10" width="32.57421875" style="0" customWidth="1"/>
  </cols>
  <sheetData>
    <row r="1" spans="1:10" ht="12.75" customHeight="1">
      <c r="A1" s="182"/>
      <c r="B1" s="182"/>
      <c r="C1" s="182"/>
      <c r="D1" s="182"/>
      <c r="E1" s="182"/>
      <c r="F1" s="182"/>
      <c r="G1" s="182"/>
      <c r="H1" s="182"/>
      <c r="I1" s="214"/>
      <c r="J1" s="214"/>
    </row>
    <row r="2" spans="2:14" ht="12.75">
      <c r="B2" s="15" t="s">
        <v>104</v>
      </c>
      <c r="C2" s="15"/>
      <c r="D2" s="15"/>
      <c r="E2" s="15" t="s">
        <v>105</v>
      </c>
      <c r="F2" s="15"/>
      <c r="G2" s="15"/>
      <c r="H2" s="15" t="s">
        <v>106</v>
      </c>
      <c r="I2" s="15"/>
      <c r="J2" s="15"/>
      <c r="K2" s="61" t="s">
        <v>107</v>
      </c>
      <c r="L2" s="15"/>
      <c r="M2" s="15"/>
      <c r="N2" s="15"/>
    </row>
    <row r="4" spans="2:11" ht="18">
      <c r="B4" s="62" t="s">
        <v>108</v>
      </c>
      <c r="C4" s="2" t="s">
        <v>45</v>
      </c>
      <c r="D4" s="63" t="s">
        <v>109</v>
      </c>
      <c r="E4" s="65"/>
      <c r="F4" s="2"/>
      <c r="G4" s="28"/>
      <c r="H4" s="65" t="s">
        <v>103</v>
      </c>
      <c r="I4" s="2" t="s">
        <v>110</v>
      </c>
      <c r="J4" s="28" t="s">
        <v>111</v>
      </c>
      <c r="K4" s="65"/>
    </row>
    <row r="5" spans="2:11" ht="18">
      <c r="B5" s="65" t="s">
        <v>399</v>
      </c>
      <c r="C5" s="2" t="s">
        <v>48</v>
      </c>
      <c r="D5" s="28" t="s">
        <v>400</v>
      </c>
      <c r="E5" s="65"/>
      <c r="F5" s="2"/>
      <c r="G5" s="28"/>
      <c r="H5" s="65"/>
      <c r="I5" s="2"/>
      <c r="J5" s="28"/>
      <c r="K5" s="65"/>
    </row>
    <row r="6" spans="2:11" ht="18">
      <c r="B6" s="65" t="s">
        <v>401</v>
      </c>
      <c r="C6" s="2" t="s">
        <v>48</v>
      </c>
      <c r="D6" s="28" t="s">
        <v>402</v>
      </c>
      <c r="E6" s="65"/>
      <c r="F6" s="2"/>
      <c r="G6" s="28"/>
      <c r="H6" s="65"/>
      <c r="I6" s="2"/>
      <c r="J6" s="28"/>
      <c r="K6" s="65"/>
    </row>
    <row r="7" spans="2:11" ht="18">
      <c r="B7" s="65" t="s">
        <v>317</v>
      </c>
      <c r="C7" s="2" t="s">
        <v>48</v>
      </c>
      <c r="D7" s="28" t="s">
        <v>318</v>
      </c>
      <c r="E7" s="65"/>
      <c r="F7" s="2"/>
      <c r="G7" s="28"/>
      <c r="H7" s="65"/>
      <c r="I7" s="2"/>
      <c r="J7" s="28"/>
      <c r="K7" s="65"/>
    </row>
    <row r="8" spans="2:11" ht="18">
      <c r="B8" s="66" t="s">
        <v>112</v>
      </c>
      <c r="C8" s="2" t="s">
        <v>46</v>
      </c>
      <c r="D8" s="28" t="s">
        <v>406</v>
      </c>
      <c r="E8" s="2"/>
      <c r="F8" s="28"/>
      <c r="G8" s="28"/>
      <c r="H8" s="62" t="s">
        <v>114</v>
      </c>
      <c r="I8" s="2" t="s">
        <v>46</v>
      </c>
      <c r="J8" s="28" t="s">
        <v>113</v>
      </c>
      <c r="K8" s="65"/>
    </row>
    <row r="9" spans="2:11" ht="28.5">
      <c r="B9" s="66" t="s">
        <v>398</v>
      </c>
      <c r="C9" s="2" t="s">
        <v>46</v>
      </c>
      <c r="D9" s="285" t="s">
        <v>407</v>
      </c>
      <c r="E9" s="2"/>
      <c r="F9" s="28"/>
      <c r="G9" s="28"/>
      <c r="H9" s="62"/>
      <c r="I9" s="2"/>
      <c r="J9" s="28"/>
      <c r="K9" s="65"/>
    </row>
    <row r="10" spans="2:11" ht="18">
      <c r="B10" s="62" t="s">
        <v>115</v>
      </c>
      <c r="C10" s="2" t="s">
        <v>48</v>
      </c>
      <c r="D10" s="28" t="s">
        <v>116</v>
      </c>
      <c r="E10" s="2"/>
      <c r="F10" s="28"/>
      <c r="G10" s="28"/>
      <c r="H10" s="65" t="s">
        <v>115</v>
      </c>
      <c r="I10" s="2" t="s">
        <v>57</v>
      </c>
      <c r="J10" s="28" t="s">
        <v>116</v>
      </c>
      <c r="K10" s="65"/>
    </row>
    <row r="11" spans="2:11" ht="18">
      <c r="B11" s="62" t="s">
        <v>117</v>
      </c>
      <c r="C11" s="2" t="s">
        <v>48</v>
      </c>
      <c r="D11" s="28" t="s">
        <v>118</v>
      </c>
      <c r="E11" s="2"/>
      <c r="F11" s="28"/>
      <c r="G11" s="28"/>
      <c r="H11" s="62" t="s">
        <v>119</v>
      </c>
      <c r="I11" s="2" t="s">
        <v>57</v>
      </c>
      <c r="J11" s="28" t="s">
        <v>118</v>
      </c>
      <c r="K11" s="65"/>
    </row>
    <row r="12" spans="2:11" ht="18">
      <c r="B12" s="62" t="s">
        <v>120</v>
      </c>
      <c r="C12" s="2" t="s">
        <v>48</v>
      </c>
      <c r="D12" s="28" t="s">
        <v>121</v>
      </c>
      <c r="E12" s="2"/>
      <c r="F12" s="28"/>
      <c r="G12" s="28"/>
      <c r="H12" s="62" t="s">
        <v>122</v>
      </c>
      <c r="I12" s="2" t="s">
        <v>57</v>
      </c>
      <c r="J12" s="28" t="s">
        <v>121</v>
      </c>
      <c r="K12" s="65"/>
    </row>
    <row r="13" spans="2:11" ht="18">
      <c r="B13" s="62" t="s">
        <v>123</v>
      </c>
      <c r="C13" s="2" t="s">
        <v>30</v>
      </c>
      <c r="D13" s="28" t="s">
        <v>124</v>
      </c>
      <c r="E13" s="2"/>
      <c r="F13" s="28"/>
      <c r="G13" s="28"/>
      <c r="H13" s="62" t="s">
        <v>123</v>
      </c>
      <c r="I13" s="2" t="s">
        <v>30</v>
      </c>
      <c r="J13" s="28" t="s">
        <v>124</v>
      </c>
      <c r="K13" s="65"/>
    </row>
    <row r="14" spans="2:11" ht="18">
      <c r="B14" s="65" t="s">
        <v>310</v>
      </c>
      <c r="C14" s="71" t="s">
        <v>134</v>
      </c>
      <c r="D14" s="28" t="s">
        <v>311</v>
      </c>
      <c r="E14" s="2"/>
      <c r="F14" s="28"/>
      <c r="G14" s="28"/>
      <c r="H14" s="62"/>
      <c r="I14" s="2"/>
      <c r="J14" s="28"/>
      <c r="K14" s="65"/>
    </row>
    <row r="15" spans="2:11" ht="21" thickBot="1">
      <c r="B15" s="195" t="s">
        <v>319</v>
      </c>
      <c r="C15" s="2" t="s">
        <v>46</v>
      </c>
      <c r="D15" s="63" t="s">
        <v>320</v>
      </c>
      <c r="E15" s="2"/>
      <c r="F15" s="28"/>
      <c r="G15" s="28"/>
      <c r="H15" s="65"/>
      <c r="I15" s="2"/>
      <c r="J15" s="28"/>
      <c r="K15" s="65"/>
    </row>
    <row r="16" spans="2:13" ht="15">
      <c r="B16" s="65" t="s">
        <v>125</v>
      </c>
      <c r="C16" s="10" t="s">
        <v>50</v>
      </c>
      <c r="D16" s="67" t="s">
        <v>126</v>
      </c>
      <c r="E16" s="68" t="s">
        <v>125</v>
      </c>
      <c r="F16" s="10" t="s">
        <v>50</v>
      </c>
      <c r="G16" s="67" t="s">
        <v>126</v>
      </c>
      <c r="H16" s="68" t="s">
        <v>125</v>
      </c>
      <c r="I16" s="10" t="s">
        <v>50</v>
      </c>
      <c r="J16" s="67" t="s">
        <v>127</v>
      </c>
      <c r="K16" s="68"/>
      <c r="L16" s="9"/>
      <c r="M16" s="9"/>
    </row>
    <row r="17" spans="2:11" ht="15">
      <c r="B17" s="65" t="s">
        <v>128</v>
      </c>
      <c r="C17" s="2" t="s">
        <v>53</v>
      </c>
      <c r="D17" s="63" t="s">
        <v>129</v>
      </c>
      <c r="E17" s="65" t="s">
        <v>128</v>
      </c>
      <c r="F17" s="2" t="s">
        <v>53</v>
      </c>
      <c r="G17" s="63" t="s">
        <v>129</v>
      </c>
      <c r="H17" s="65"/>
      <c r="I17" s="2"/>
      <c r="J17" s="28"/>
      <c r="K17" s="65"/>
    </row>
    <row r="18" spans="2:11" ht="18">
      <c r="B18" s="65"/>
      <c r="C18" s="2"/>
      <c r="D18" s="28"/>
      <c r="E18" s="69" t="s">
        <v>130</v>
      </c>
      <c r="F18" s="2" t="s">
        <v>131</v>
      </c>
      <c r="G18" s="63" t="s">
        <v>132</v>
      </c>
      <c r="H18" s="65"/>
      <c r="I18" s="2"/>
      <c r="J18" s="28"/>
      <c r="K18" s="65"/>
    </row>
    <row r="19" spans="2:11" ht="18">
      <c r="B19" s="70" t="s">
        <v>405</v>
      </c>
      <c r="C19" s="71" t="s">
        <v>134</v>
      </c>
      <c r="D19" s="63" t="s">
        <v>135</v>
      </c>
      <c r="E19" s="70" t="s">
        <v>136</v>
      </c>
      <c r="F19" s="71" t="s">
        <v>134</v>
      </c>
      <c r="G19" s="28" t="s">
        <v>137</v>
      </c>
      <c r="K19" s="65"/>
    </row>
    <row r="20" spans="2:11" ht="18">
      <c r="B20" s="62" t="s">
        <v>138</v>
      </c>
      <c r="C20" s="2" t="s">
        <v>46</v>
      </c>
      <c r="D20" s="63" t="s">
        <v>139</v>
      </c>
      <c r="E20" s="62" t="s">
        <v>138</v>
      </c>
      <c r="F20" s="2" t="s">
        <v>46</v>
      </c>
      <c r="G20" s="28" t="s">
        <v>140</v>
      </c>
      <c r="H20" s="65"/>
      <c r="I20" s="2"/>
      <c r="J20" s="28"/>
      <c r="K20" s="65"/>
    </row>
    <row r="21" spans="2:13" ht="21" thickBot="1">
      <c r="B21" s="4"/>
      <c r="C21" s="4"/>
      <c r="D21" s="4"/>
      <c r="E21" s="72" t="s">
        <v>141</v>
      </c>
      <c r="F21" s="73" t="s">
        <v>142</v>
      </c>
      <c r="G21" s="74" t="s">
        <v>143</v>
      </c>
      <c r="H21" s="75" t="s">
        <v>138</v>
      </c>
      <c r="I21" s="7" t="s">
        <v>46</v>
      </c>
      <c r="J21" s="76" t="s">
        <v>139</v>
      </c>
      <c r="K21" s="77"/>
      <c r="L21" s="4"/>
      <c r="M21" s="4"/>
    </row>
    <row r="22" spans="2:11" ht="18">
      <c r="B22" s="65"/>
      <c r="C22" s="2"/>
      <c r="D22" s="28"/>
      <c r="E22" s="2"/>
      <c r="F22" s="28"/>
      <c r="G22" s="28"/>
      <c r="H22" s="62" t="s">
        <v>144</v>
      </c>
      <c r="I22" s="2" t="s">
        <v>46</v>
      </c>
      <c r="J22" s="28" t="s">
        <v>145</v>
      </c>
      <c r="K22" s="65"/>
    </row>
    <row r="23" spans="2:11" ht="15">
      <c r="B23" s="65" t="s">
        <v>146</v>
      </c>
      <c r="C23" s="2" t="s">
        <v>39</v>
      </c>
      <c r="D23" s="28"/>
      <c r="E23" s="2"/>
      <c r="F23" s="28"/>
      <c r="G23" s="28"/>
      <c r="H23" s="65" t="s">
        <v>146</v>
      </c>
      <c r="I23" s="2" t="s">
        <v>39</v>
      </c>
      <c r="J23" s="63" t="s">
        <v>147</v>
      </c>
      <c r="K23" s="65"/>
    </row>
    <row r="24" spans="2:11" ht="18">
      <c r="B24" s="62" t="s">
        <v>148</v>
      </c>
      <c r="C24" s="2" t="s">
        <v>48</v>
      </c>
      <c r="D24" s="28"/>
      <c r="E24" s="2"/>
      <c r="F24" s="28"/>
      <c r="G24" s="28"/>
      <c r="H24" s="65"/>
      <c r="I24" s="2"/>
      <c r="J24" s="28"/>
      <c r="K24" s="65"/>
    </row>
    <row r="25" spans="2:11" ht="18">
      <c r="B25" s="62" t="s">
        <v>149</v>
      </c>
      <c r="C25" s="2" t="s">
        <v>45</v>
      </c>
      <c r="D25" s="28"/>
      <c r="E25" s="2"/>
      <c r="F25" s="28"/>
      <c r="G25" s="28"/>
      <c r="H25" s="65"/>
      <c r="I25" s="2"/>
      <c r="J25" s="28"/>
      <c r="K25" s="65"/>
    </row>
    <row r="26" spans="5:11" ht="15">
      <c r="E26" s="17"/>
      <c r="G26" s="27"/>
      <c r="H26" s="65"/>
      <c r="I26" s="2"/>
      <c r="J26" s="28"/>
      <c r="K26" s="65"/>
    </row>
    <row r="27" spans="2:11" ht="18">
      <c r="B27" s="78" t="s">
        <v>150</v>
      </c>
      <c r="C27" s="2" t="s">
        <v>46</v>
      </c>
      <c r="D27" s="28"/>
      <c r="E27" s="2"/>
      <c r="F27" s="28"/>
      <c r="G27" s="28"/>
      <c r="H27" s="62" t="s">
        <v>138</v>
      </c>
      <c r="I27" s="2" t="s">
        <v>46</v>
      </c>
      <c r="J27" s="63" t="s">
        <v>139</v>
      </c>
      <c r="K27" s="65"/>
    </row>
    <row r="28" spans="2:11" ht="18">
      <c r="B28" s="78" t="s">
        <v>151</v>
      </c>
      <c r="C28" s="2" t="s">
        <v>46</v>
      </c>
      <c r="D28" s="28"/>
      <c r="E28" s="2"/>
      <c r="F28" s="28"/>
      <c r="G28" s="28"/>
      <c r="H28" s="65"/>
      <c r="I28" s="2"/>
      <c r="J28" s="28"/>
      <c r="K28" s="65"/>
    </row>
    <row r="29" spans="2:11" ht="15">
      <c r="B29" s="65"/>
      <c r="C29" s="2"/>
      <c r="D29" s="28"/>
      <c r="E29" s="2"/>
      <c r="F29" s="28"/>
      <c r="G29" s="28"/>
      <c r="H29" s="65"/>
      <c r="I29" s="2"/>
      <c r="J29" s="28"/>
      <c r="K29" s="65"/>
    </row>
    <row r="30" spans="2:11" ht="17.25">
      <c r="B30" s="66" t="s">
        <v>152</v>
      </c>
      <c r="C30" s="71" t="s">
        <v>55</v>
      </c>
      <c r="D30" s="28" t="s">
        <v>403</v>
      </c>
      <c r="E30" s="2"/>
      <c r="F30" s="28"/>
      <c r="G30" s="28"/>
      <c r="H30" s="65"/>
      <c r="I30" s="2"/>
      <c r="J30" s="28"/>
      <c r="K30" s="65"/>
    </row>
    <row r="31" spans="2:11" ht="17.25">
      <c r="B31" s="66" t="s">
        <v>153</v>
      </c>
      <c r="C31" s="71" t="s">
        <v>55</v>
      </c>
      <c r="D31" s="28" t="s">
        <v>404</v>
      </c>
      <c r="E31" s="2"/>
      <c r="F31" s="28"/>
      <c r="G31" s="28"/>
      <c r="H31" s="65"/>
      <c r="I31" s="2"/>
      <c r="J31" s="28"/>
      <c r="K31" s="65"/>
    </row>
    <row r="32" spans="2:11" ht="15">
      <c r="B32" s="2"/>
      <c r="C32" s="2"/>
      <c r="D32" s="28"/>
      <c r="E32" s="2"/>
      <c r="F32" s="28"/>
      <c r="G32" s="28"/>
      <c r="H32" s="65"/>
      <c r="I32" s="2"/>
      <c r="J32" s="28"/>
      <c r="K32" s="65"/>
    </row>
    <row r="33" spans="2:11" ht="18">
      <c r="B33" s="78" t="s">
        <v>58</v>
      </c>
      <c r="C33" s="71" t="s">
        <v>134</v>
      </c>
      <c r="D33" s="28" t="s">
        <v>154</v>
      </c>
      <c r="E33" s="2"/>
      <c r="F33" s="28"/>
      <c r="G33" s="28"/>
      <c r="H33" s="65"/>
      <c r="I33" s="2"/>
      <c r="J33" s="28"/>
      <c r="K33" s="65"/>
    </row>
    <row r="34" spans="2:11" ht="18">
      <c r="B34" s="79"/>
      <c r="C34" s="2"/>
      <c r="D34" s="28"/>
      <c r="E34" s="2"/>
      <c r="F34" s="28"/>
      <c r="G34" s="28"/>
      <c r="H34" s="62" t="s">
        <v>155</v>
      </c>
      <c r="I34" s="2" t="s">
        <v>46</v>
      </c>
      <c r="J34" s="63" t="s">
        <v>156</v>
      </c>
      <c r="K34" s="65"/>
    </row>
    <row r="35" spans="2:11" ht="15">
      <c r="B35" s="65"/>
      <c r="C35" s="65"/>
      <c r="D35" s="65"/>
      <c r="E35" s="65"/>
      <c r="F35" s="65"/>
      <c r="G35" s="28"/>
      <c r="H35" s="70" t="s">
        <v>133</v>
      </c>
      <c r="I35" s="71" t="s">
        <v>134</v>
      </c>
      <c r="J35" s="28" t="s">
        <v>157</v>
      </c>
      <c r="K35" s="65"/>
    </row>
    <row r="36" spans="2:11" ht="52.5">
      <c r="B36" s="65"/>
      <c r="C36" s="65"/>
      <c r="D36" s="65"/>
      <c r="E36" s="62" t="s">
        <v>158</v>
      </c>
      <c r="F36" s="65"/>
      <c r="G36" s="80" t="s">
        <v>159</v>
      </c>
      <c r="K36" s="65"/>
    </row>
    <row r="37" spans="2:11" ht="15">
      <c r="B37" s="65"/>
      <c r="C37" s="65"/>
      <c r="D37" s="65"/>
      <c r="E37" s="65"/>
      <c r="F37" s="65"/>
      <c r="G37" s="28"/>
      <c r="K37" s="65"/>
    </row>
    <row r="38" spans="2:11" ht="15">
      <c r="B38" s="65"/>
      <c r="C38" s="65"/>
      <c r="D38" s="65"/>
      <c r="E38" s="65"/>
      <c r="F38" s="65"/>
      <c r="G38" s="28"/>
      <c r="H38" s="65"/>
      <c r="I38" s="65"/>
      <c r="J38" s="65"/>
      <c r="K38" s="65"/>
    </row>
    <row r="39" spans="2:11" ht="18">
      <c r="B39" s="65"/>
      <c r="C39" s="65"/>
      <c r="D39" s="65"/>
      <c r="E39" s="62" t="s">
        <v>160</v>
      </c>
      <c r="F39" s="65"/>
      <c r="G39" s="63" t="s">
        <v>161</v>
      </c>
      <c r="H39" s="65"/>
      <c r="I39" s="65"/>
      <c r="J39" s="65"/>
      <c r="K39" s="65"/>
    </row>
    <row r="40" spans="2:11" ht="18">
      <c r="B40" s="65"/>
      <c r="C40" s="65"/>
      <c r="D40" s="65"/>
      <c r="E40" s="62" t="s">
        <v>162</v>
      </c>
      <c r="F40" s="65"/>
      <c r="G40" s="63" t="s">
        <v>163</v>
      </c>
      <c r="H40" s="65"/>
      <c r="I40" s="65"/>
      <c r="J40" s="65"/>
      <c r="K40" s="65"/>
    </row>
    <row r="41" spans="2:11" ht="15">
      <c r="B41" s="65"/>
      <c r="C41" s="65"/>
      <c r="D41" s="65"/>
      <c r="E41" s="65"/>
      <c r="F41" s="65"/>
      <c r="G41" s="28"/>
      <c r="H41" s="65"/>
      <c r="I41" s="65"/>
      <c r="J41" s="65"/>
      <c r="K41" s="65"/>
    </row>
    <row r="42" spans="1:11" ht="15">
      <c r="A42" s="15" t="s">
        <v>277</v>
      </c>
      <c r="B42" s="83" t="s">
        <v>284</v>
      </c>
      <c r="C42" s="83" t="s">
        <v>283</v>
      </c>
      <c r="D42" s="83" t="s">
        <v>285</v>
      </c>
      <c r="E42" s="773" t="s">
        <v>286</v>
      </c>
      <c r="F42" s="774"/>
      <c r="G42" s="774"/>
      <c r="H42" s="65"/>
      <c r="I42" s="65"/>
      <c r="J42" s="65"/>
      <c r="K42" s="65"/>
    </row>
    <row r="43" spans="1:11" ht="15">
      <c r="A43" s="101" t="s">
        <v>221</v>
      </c>
      <c r="B43" s="65" t="s">
        <v>67</v>
      </c>
      <c r="C43" s="65" t="s">
        <v>11</v>
      </c>
      <c r="D43" s="96" t="s">
        <v>278</v>
      </c>
      <c r="E43" s="770" t="s">
        <v>280</v>
      </c>
      <c r="F43" s="771"/>
      <c r="G43" s="771"/>
      <c r="H43" s="65"/>
      <c r="I43" s="65"/>
      <c r="J43" s="65"/>
      <c r="K43" s="65"/>
    </row>
    <row r="44" spans="1:11" ht="17.25">
      <c r="A44" s="101" t="s">
        <v>13</v>
      </c>
      <c r="B44" s="98" t="s">
        <v>1</v>
      </c>
      <c r="C44" s="65" t="s">
        <v>279</v>
      </c>
      <c r="D44" s="97" t="s">
        <v>281</v>
      </c>
      <c r="E44" s="770" t="s">
        <v>280</v>
      </c>
      <c r="F44" s="771"/>
      <c r="G44" s="771"/>
      <c r="H44" s="65"/>
      <c r="I44" s="65"/>
      <c r="J44" s="65"/>
      <c r="K44" s="65"/>
    </row>
    <row r="45" spans="1:11" ht="15">
      <c r="A45" s="101" t="s">
        <v>103</v>
      </c>
      <c r="B45" s="65"/>
      <c r="C45" s="65"/>
      <c r="D45" s="65"/>
      <c r="E45" s="770"/>
      <c r="F45" s="771"/>
      <c r="G45" s="771"/>
      <c r="H45" s="81"/>
      <c r="I45" s="81"/>
      <c r="J45" s="81"/>
      <c r="K45" s="81"/>
    </row>
    <row r="46" spans="1:11" ht="15">
      <c r="A46" s="101" t="s">
        <v>222</v>
      </c>
      <c r="B46" s="65"/>
      <c r="C46" s="65"/>
      <c r="D46" s="99"/>
      <c r="E46" s="770"/>
      <c r="F46" s="771"/>
      <c r="G46" s="771"/>
      <c r="H46" s="64"/>
      <c r="I46" s="64"/>
      <c r="J46" s="64"/>
      <c r="K46" s="64"/>
    </row>
    <row r="47" spans="1:11" ht="15">
      <c r="A47" s="101" t="s">
        <v>223</v>
      </c>
      <c r="B47" s="65"/>
      <c r="C47" s="65"/>
      <c r="D47" s="99"/>
      <c r="E47" s="770"/>
      <c r="F47" s="771"/>
      <c r="G47" s="771"/>
      <c r="H47" s="64"/>
      <c r="I47" s="64"/>
      <c r="J47" s="64"/>
      <c r="K47" s="64"/>
    </row>
    <row r="48" spans="1:11" ht="15">
      <c r="A48" s="101" t="s">
        <v>67</v>
      </c>
      <c r="B48" s="65"/>
      <c r="C48" s="65"/>
      <c r="D48" s="99"/>
      <c r="E48" s="770"/>
      <c r="F48" s="771"/>
      <c r="G48" s="771"/>
      <c r="H48" s="64"/>
      <c r="I48" s="64"/>
      <c r="J48" s="64"/>
      <c r="K48" s="64"/>
    </row>
    <row r="49" spans="1:11" ht="15">
      <c r="A49" s="101" t="s">
        <v>224</v>
      </c>
      <c r="B49" s="65"/>
      <c r="C49" s="65"/>
      <c r="D49" s="99"/>
      <c r="E49" s="770"/>
      <c r="F49" s="771"/>
      <c r="G49" s="771"/>
      <c r="H49" s="64"/>
      <c r="I49" s="64"/>
      <c r="J49" s="64"/>
      <c r="K49" s="64"/>
    </row>
    <row r="50" spans="1:11" ht="18">
      <c r="A50" s="101" t="s">
        <v>225</v>
      </c>
      <c r="B50" s="65" t="s">
        <v>282</v>
      </c>
      <c r="C50" s="65" t="s">
        <v>29</v>
      </c>
      <c r="D50" s="100" t="s">
        <v>294</v>
      </c>
      <c r="E50" s="770" t="s">
        <v>287</v>
      </c>
      <c r="F50" s="771"/>
      <c r="G50" s="771"/>
      <c r="H50" s="64"/>
      <c r="I50" s="64"/>
      <c r="J50" s="64"/>
      <c r="K50" s="64"/>
    </row>
    <row r="51" spans="1:11" ht="18">
      <c r="A51" s="101" t="s">
        <v>226</v>
      </c>
      <c r="B51" s="65" t="s">
        <v>291</v>
      </c>
      <c r="C51" s="65" t="s">
        <v>29</v>
      </c>
      <c r="D51" s="100" t="s">
        <v>295</v>
      </c>
      <c r="E51" s="770" t="s">
        <v>288</v>
      </c>
      <c r="F51" s="771"/>
      <c r="G51" s="771"/>
      <c r="H51" s="64"/>
      <c r="I51" s="64"/>
      <c r="J51" s="64"/>
      <c r="K51" s="64"/>
    </row>
    <row r="52" spans="1:11" ht="18">
      <c r="A52" s="101" t="s">
        <v>227</v>
      </c>
      <c r="B52" s="65" t="s">
        <v>292</v>
      </c>
      <c r="C52" s="65" t="s">
        <v>29</v>
      </c>
      <c r="D52" s="100" t="s">
        <v>408</v>
      </c>
      <c r="E52" s="770" t="s">
        <v>289</v>
      </c>
      <c r="F52" s="771"/>
      <c r="G52" s="771"/>
      <c r="H52" s="64"/>
      <c r="I52" s="64"/>
      <c r="J52" s="64"/>
      <c r="K52" s="64"/>
    </row>
    <row r="53" spans="1:11" ht="15">
      <c r="A53" s="101"/>
      <c r="B53" s="65"/>
      <c r="C53" s="65"/>
      <c r="D53" s="100"/>
      <c r="E53" s="770"/>
      <c r="F53" s="771"/>
      <c r="G53" s="771"/>
      <c r="H53" s="64"/>
      <c r="I53" s="64"/>
      <c r="J53" s="64"/>
      <c r="K53" s="64"/>
    </row>
    <row r="54" spans="1:7" ht="32.25" customHeight="1">
      <c r="A54" s="101" t="s">
        <v>128</v>
      </c>
      <c r="B54" s="65" t="s">
        <v>293</v>
      </c>
      <c r="C54" s="65" t="s">
        <v>29</v>
      </c>
      <c r="D54" s="102" t="s">
        <v>297</v>
      </c>
      <c r="E54" s="770" t="s">
        <v>290</v>
      </c>
      <c r="F54" s="771"/>
      <c r="G54" s="771"/>
    </row>
    <row r="55" spans="1:7" ht="18" customHeight="1">
      <c r="A55" s="101" t="s">
        <v>228</v>
      </c>
      <c r="B55" s="65" t="s">
        <v>296</v>
      </c>
      <c r="C55" s="65" t="s">
        <v>30</v>
      </c>
      <c r="D55" s="100" t="s">
        <v>123</v>
      </c>
      <c r="E55" s="770" t="s">
        <v>298</v>
      </c>
      <c r="F55" s="771"/>
      <c r="G55" s="771"/>
    </row>
    <row r="56" spans="1:7" ht="18" customHeight="1">
      <c r="A56" s="101" t="s">
        <v>125</v>
      </c>
      <c r="B56" s="65" t="s">
        <v>299</v>
      </c>
      <c r="C56" s="65" t="s">
        <v>31</v>
      </c>
      <c r="D56" s="100" t="s">
        <v>300</v>
      </c>
      <c r="E56" s="770" t="s">
        <v>301</v>
      </c>
      <c r="F56" s="771"/>
      <c r="G56" s="771"/>
    </row>
    <row r="57" spans="1:7" ht="30">
      <c r="A57" s="101" t="s">
        <v>229</v>
      </c>
      <c r="B57" s="103" t="s">
        <v>302</v>
      </c>
      <c r="C57" s="65" t="s">
        <v>31</v>
      </c>
      <c r="D57" s="100"/>
      <c r="E57" s="770"/>
      <c r="F57" s="771"/>
      <c r="G57" s="771"/>
    </row>
    <row r="58" spans="1:7" ht="15">
      <c r="A58" s="101" t="s">
        <v>69</v>
      </c>
      <c r="B58" s="65"/>
      <c r="C58" s="65"/>
      <c r="D58" s="100"/>
      <c r="E58" s="770"/>
      <c r="F58" s="771"/>
      <c r="G58" s="771"/>
    </row>
    <row r="59" spans="1:7" ht="15">
      <c r="A59" s="101" t="s">
        <v>73</v>
      </c>
      <c r="B59" s="65"/>
      <c r="C59" s="65"/>
      <c r="D59" s="100"/>
      <c r="E59" s="770"/>
      <c r="F59" s="771"/>
      <c r="G59" s="771"/>
    </row>
    <row r="60" spans="1:7" ht="15">
      <c r="A60" s="101" t="s">
        <v>61</v>
      </c>
      <c r="B60" s="65"/>
      <c r="C60" s="65"/>
      <c r="D60" s="100"/>
      <c r="E60" s="770"/>
      <c r="F60" s="771"/>
      <c r="G60" s="771"/>
    </row>
    <row r="61" spans="1:7" ht="15">
      <c r="A61" s="101" t="s">
        <v>102</v>
      </c>
      <c r="B61" s="65"/>
      <c r="C61" s="65"/>
      <c r="D61" s="100"/>
      <c r="E61" s="770"/>
      <c r="F61" s="772"/>
      <c r="G61" s="772"/>
    </row>
    <row r="62" spans="1:7" ht="15">
      <c r="A62" s="101" t="s">
        <v>230</v>
      </c>
      <c r="B62" s="65"/>
      <c r="C62" s="65"/>
      <c r="D62" s="100"/>
      <c r="E62" s="770"/>
      <c r="F62" s="772"/>
      <c r="G62" s="772"/>
    </row>
    <row r="63" spans="1:7" ht="15">
      <c r="A63" s="101" t="s">
        <v>231</v>
      </c>
      <c r="B63" s="65"/>
      <c r="C63" s="65"/>
      <c r="D63" s="100"/>
      <c r="E63" s="770"/>
      <c r="F63" s="772"/>
      <c r="G63" s="772"/>
    </row>
    <row r="64" spans="1:7" ht="15">
      <c r="A64" s="101" t="s">
        <v>232</v>
      </c>
      <c r="B64" s="65"/>
      <c r="C64" s="65"/>
      <c r="D64" s="100"/>
      <c r="E64" s="770"/>
      <c r="F64" s="772"/>
      <c r="G64" s="772"/>
    </row>
    <row r="65" spans="1:7" ht="15">
      <c r="A65" s="101" t="s">
        <v>233</v>
      </c>
      <c r="B65" s="65"/>
      <c r="C65" s="65"/>
      <c r="D65" s="100"/>
      <c r="E65" s="770"/>
      <c r="F65" s="772"/>
      <c r="G65" s="772"/>
    </row>
    <row r="66" spans="1:7" ht="15">
      <c r="A66" s="101" t="s">
        <v>68</v>
      </c>
      <c r="B66" s="65"/>
      <c r="C66" s="65"/>
      <c r="D66" s="100"/>
      <c r="E66" s="770"/>
      <c r="F66" s="772"/>
      <c r="G66" s="772"/>
    </row>
    <row r="67" spans="1:7" ht="15">
      <c r="A67" s="101" t="s">
        <v>72</v>
      </c>
      <c r="B67" s="65"/>
      <c r="C67" s="65"/>
      <c r="D67" s="100"/>
      <c r="E67" s="770"/>
      <c r="F67" s="772"/>
      <c r="G67" s="772"/>
    </row>
    <row r="68" spans="1:7" ht="15">
      <c r="A68" s="101" t="s">
        <v>76</v>
      </c>
      <c r="B68" s="65"/>
      <c r="C68" s="65"/>
      <c r="D68" s="100"/>
      <c r="E68" s="770"/>
      <c r="F68" s="772"/>
      <c r="G68" s="772"/>
    </row>
    <row r="69" spans="1:7" ht="15">
      <c r="A69" s="101" t="s">
        <v>234</v>
      </c>
      <c r="B69" s="65"/>
      <c r="C69" s="65"/>
      <c r="D69" s="100"/>
      <c r="E69" s="770"/>
      <c r="F69" s="772"/>
      <c r="G69" s="772"/>
    </row>
    <row r="70" spans="1:7" ht="15">
      <c r="A70" s="101" t="s">
        <v>70</v>
      </c>
      <c r="B70" s="65"/>
      <c r="C70" s="65"/>
      <c r="D70" s="100"/>
      <c r="E70" s="770"/>
      <c r="F70" s="772"/>
      <c r="G70" s="772"/>
    </row>
    <row r="71" spans="1:7" ht="15">
      <c r="A71" s="101" t="s">
        <v>77</v>
      </c>
      <c r="B71" s="65"/>
      <c r="C71" s="65"/>
      <c r="D71" s="100"/>
      <c r="E71" s="770"/>
      <c r="F71" s="772"/>
      <c r="G71" s="772"/>
    </row>
    <row r="72" spans="1:7" ht="15">
      <c r="A72" s="101" t="s">
        <v>235</v>
      </c>
      <c r="B72" s="65"/>
      <c r="C72" s="65"/>
      <c r="D72" s="100"/>
      <c r="E72" s="770"/>
      <c r="F72" s="772"/>
      <c r="G72" s="772"/>
    </row>
    <row r="73" spans="1:7" ht="15">
      <c r="A73" s="101" t="s">
        <v>71</v>
      </c>
      <c r="B73" s="65"/>
      <c r="C73" s="65"/>
      <c r="D73" s="100"/>
      <c r="E73" s="770"/>
      <c r="F73" s="772"/>
      <c r="G73" s="772"/>
    </row>
    <row r="74" spans="1:7" ht="15">
      <c r="A74" s="101" t="s">
        <v>236</v>
      </c>
      <c r="B74" s="65"/>
      <c r="C74" s="65"/>
      <c r="D74" s="100"/>
      <c r="E74" s="770"/>
      <c r="F74" s="772"/>
      <c r="G74" s="772"/>
    </row>
    <row r="75" spans="1:7" ht="15">
      <c r="A75" s="101" t="s">
        <v>74</v>
      </c>
      <c r="B75" s="65"/>
      <c r="C75" s="65"/>
      <c r="D75" s="100"/>
      <c r="E75" s="770"/>
      <c r="F75" s="772"/>
      <c r="G75" s="772"/>
    </row>
    <row r="76" spans="1:7" ht="15">
      <c r="A76" s="101" t="s">
        <v>237</v>
      </c>
      <c r="B76" s="65"/>
      <c r="C76" s="65"/>
      <c r="D76" s="100"/>
      <c r="E76" s="770"/>
      <c r="F76" s="772"/>
      <c r="G76" s="772"/>
    </row>
    <row r="77" spans="1:7" ht="15">
      <c r="A77" s="101" t="s">
        <v>75</v>
      </c>
      <c r="B77" s="65"/>
      <c r="C77" s="65"/>
      <c r="D77" s="100"/>
      <c r="E77" s="770"/>
      <c r="F77" s="772"/>
      <c r="G77" s="772"/>
    </row>
    <row r="78" spans="1:7" ht="15">
      <c r="A78" s="101" t="s">
        <v>238</v>
      </c>
      <c r="B78" s="65"/>
      <c r="C78" s="65"/>
      <c r="D78" s="100"/>
      <c r="E78" s="770"/>
      <c r="F78" s="772"/>
      <c r="G78" s="772"/>
    </row>
    <row r="79" spans="1:7" ht="15">
      <c r="A79" s="101" t="s">
        <v>239</v>
      </c>
      <c r="B79" s="65"/>
      <c r="C79" s="65"/>
      <c r="D79" s="100"/>
      <c r="E79" s="770"/>
      <c r="F79" s="772"/>
      <c r="G79" s="772"/>
    </row>
    <row r="80" spans="1:7" ht="15">
      <c r="A80" s="101" t="s">
        <v>240</v>
      </c>
      <c r="B80" s="65"/>
      <c r="C80" s="65"/>
      <c r="D80" s="100"/>
      <c r="E80" s="770"/>
      <c r="F80" s="772"/>
      <c r="G80" s="772"/>
    </row>
    <row r="81" spans="1:7" ht="15">
      <c r="A81" s="101" t="s">
        <v>241</v>
      </c>
      <c r="B81" s="65"/>
      <c r="C81" s="65"/>
      <c r="D81" s="100"/>
      <c r="E81" s="770"/>
      <c r="F81" s="772"/>
      <c r="G81" s="772"/>
    </row>
    <row r="82" spans="1:7" ht="15">
      <c r="A82" s="101" t="s">
        <v>242</v>
      </c>
      <c r="B82" s="65"/>
      <c r="C82" s="65"/>
      <c r="D82" s="100"/>
      <c r="E82" s="770"/>
      <c r="F82" s="772"/>
      <c r="G82" s="772"/>
    </row>
    <row r="83" spans="1:7" ht="15">
      <c r="A83" s="101" t="s">
        <v>243</v>
      </c>
      <c r="B83" s="65"/>
      <c r="C83" s="65"/>
      <c r="D83" s="100"/>
      <c r="E83" s="770"/>
      <c r="F83" s="772"/>
      <c r="G83" s="772"/>
    </row>
    <row r="84" spans="1:7" ht="15">
      <c r="A84" s="101" t="s">
        <v>244</v>
      </c>
      <c r="B84" s="65"/>
      <c r="C84" s="65"/>
      <c r="D84" s="100"/>
      <c r="E84" s="770"/>
      <c r="F84" s="772"/>
      <c r="G84" s="772"/>
    </row>
    <row r="85" spans="1:7" ht="15">
      <c r="A85" s="101" t="s">
        <v>78</v>
      </c>
      <c r="B85" s="65"/>
      <c r="C85" s="65"/>
      <c r="D85" s="100"/>
      <c r="E85" s="770"/>
      <c r="F85" s="772"/>
      <c r="G85" s="772"/>
    </row>
    <row r="86" spans="1:7" ht="15">
      <c r="A86" s="101" t="s">
        <v>79</v>
      </c>
      <c r="B86" s="65"/>
      <c r="C86" s="65"/>
      <c r="D86" s="100"/>
      <c r="E86" s="770"/>
      <c r="F86" s="772"/>
      <c r="G86" s="772"/>
    </row>
    <row r="87" spans="1:7" ht="15">
      <c r="A87" s="101" t="s">
        <v>80</v>
      </c>
      <c r="B87" s="65"/>
      <c r="C87" s="65"/>
      <c r="D87" s="100"/>
      <c r="E87" s="770"/>
      <c r="F87" s="772"/>
      <c r="G87" s="772"/>
    </row>
    <row r="88" spans="1:7" ht="15">
      <c r="A88" s="101" t="s">
        <v>81</v>
      </c>
      <c r="B88" s="65"/>
      <c r="C88" s="65"/>
      <c r="D88" s="100"/>
      <c r="E88" s="770"/>
      <c r="F88" s="772"/>
      <c r="G88" s="772"/>
    </row>
    <row r="89" spans="1:7" ht="15">
      <c r="A89" s="101" t="s">
        <v>82</v>
      </c>
      <c r="B89" s="65"/>
      <c r="C89" s="65"/>
      <c r="D89" s="100"/>
      <c r="E89" s="770"/>
      <c r="F89" s="772"/>
      <c r="G89" s="772"/>
    </row>
    <row r="90" spans="1:7" ht="15">
      <c r="A90" s="101" t="s">
        <v>245</v>
      </c>
      <c r="B90" s="65"/>
      <c r="C90" s="65"/>
      <c r="D90" s="100"/>
      <c r="E90" s="770"/>
      <c r="F90" s="772"/>
      <c r="G90" s="772"/>
    </row>
    <row r="91" spans="1:7" ht="15">
      <c r="A91" s="101" t="s">
        <v>246</v>
      </c>
      <c r="B91" s="65"/>
      <c r="C91" s="65"/>
      <c r="D91" s="100"/>
      <c r="E91" s="770"/>
      <c r="F91" s="772"/>
      <c r="G91" s="772"/>
    </row>
    <row r="92" spans="1:7" ht="15">
      <c r="A92" s="101" t="s">
        <v>247</v>
      </c>
      <c r="B92" s="65"/>
      <c r="C92" s="65"/>
      <c r="D92" s="100"/>
      <c r="E92" s="770"/>
      <c r="F92" s="772"/>
      <c r="G92" s="772"/>
    </row>
    <row r="93" spans="1:7" ht="15">
      <c r="A93" s="101" t="s">
        <v>248</v>
      </c>
      <c r="B93" s="65"/>
      <c r="C93" s="65"/>
      <c r="D93" s="100"/>
      <c r="E93" s="770"/>
      <c r="F93" s="772"/>
      <c r="G93" s="772"/>
    </row>
    <row r="94" spans="1:7" ht="15">
      <c r="A94" s="101" t="s">
        <v>249</v>
      </c>
      <c r="B94" s="65"/>
      <c r="C94" s="65"/>
      <c r="D94" s="100"/>
      <c r="E94" s="770"/>
      <c r="F94" s="772"/>
      <c r="G94" s="772"/>
    </row>
    <row r="95" spans="1:7" ht="15">
      <c r="A95" s="101" t="s">
        <v>250</v>
      </c>
      <c r="B95" s="65"/>
      <c r="C95" s="65"/>
      <c r="D95" s="100"/>
      <c r="E95" s="770"/>
      <c r="F95" s="772"/>
      <c r="G95" s="772"/>
    </row>
    <row r="96" spans="1:7" ht="15">
      <c r="A96" s="101" t="s">
        <v>251</v>
      </c>
      <c r="B96" s="65"/>
      <c r="C96" s="65"/>
      <c r="D96" s="100"/>
      <c r="E96" s="770"/>
      <c r="F96" s="772"/>
      <c r="G96" s="772"/>
    </row>
    <row r="97" spans="1:7" ht="15">
      <c r="A97" s="101" t="s">
        <v>252</v>
      </c>
      <c r="B97" s="65"/>
      <c r="C97" s="65"/>
      <c r="D97" s="100"/>
      <c r="E97" s="770"/>
      <c r="F97" s="772"/>
      <c r="G97" s="772"/>
    </row>
    <row r="98" spans="1:7" ht="15">
      <c r="A98" s="101" t="s">
        <v>253</v>
      </c>
      <c r="B98" s="65"/>
      <c r="C98" s="65"/>
      <c r="D98" s="100"/>
      <c r="E98" s="770"/>
      <c r="F98" s="772"/>
      <c r="G98" s="772"/>
    </row>
    <row r="99" spans="1:7" ht="15">
      <c r="A99" s="101" t="s">
        <v>254</v>
      </c>
      <c r="B99" s="65"/>
      <c r="C99" s="65"/>
      <c r="D99" s="100"/>
      <c r="E99" s="770"/>
      <c r="F99" s="772"/>
      <c r="G99" s="772"/>
    </row>
    <row r="100" spans="1:7" ht="15">
      <c r="A100" s="101" t="s">
        <v>255</v>
      </c>
      <c r="B100" s="65"/>
      <c r="C100" s="65"/>
      <c r="D100" s="100"/>
      <c r="E100" s="770"/>
      <c r="F100" s="772"/>
      <c r="G100" s="772"/>
    </row>
    <row r="101" spans="1:7" ht="15">
      <c r="A101" s="101" t="s">
        <v>256</v>
      </c>
      <c r="B101" s="65"/>
      <c r="C101" s="65"/>
      <c r="D101" s="100"/>
      <c r="E101" s="770"/>
      <c r="F101" s="772"/>
      <c r="G101" s="772"/>
    </row>
    <row r="102" spans="1:7" ht="15">
      <c r="A102" s="101" t="s">
        <v>257</v>
      </c>
      <c r="B102" s="65"/>
      <c r="C102" s="65"/>
      <c r="D102" s="100"/>
      <c r="E102" s="770"/>
      <c r="F102" s="772"/>
      <c r="G102" s="772"/>
    </row>
    <row r="103" spans="1:7" ht="15">
      <c r="A103" s="101" t="s">
        <v>258</v>
      </c>
      <c r="B103" s="65"/>
      <c r="C103" s="65"/>
      <c r="D103" s="100"/>
      <c r="E103" s="770"/>
      <c r="F103" s="772"/>
      <c r="G103" s="772"/>
    </row>
    <row r="104" spans="1:7" ht="15">
      <c r="A104" s="101" t="s">
        <v>259</v>
      </c>
      <c r="B104" s="65"/>
      <c r="C104" s="65"/>
      <c r="D104" s="100"/>
      <c r="E104" s="770"/>
      <c r="F104" s="772"/>
      <c r="G104" s="772"/>
    </row>
    <row r="105" spans="1:7" ht="15">
      <c r="A105" s="101" t="s">
        <v>260</v>
      </c>
      <c r="B105" s="65"/>
      <c r="C105" s="65"/>
      <c r="D105" s="100"/>
      <c r="E105" s="770"/>
      <c r="F105" s="772"/>
      <c r="G105" s="772"/>
    </row>
    <row r="106" spans="1:7" ht="15">
      <c r="A106" s="101" t="s">
        <v>261</v>
      </c>
      <c r="B106" s="65"/>
      <c r="C106" s="65"/>
      <c r="D106" s="100"/>
      <c r="E106" s="770"/>
      <c r="F106" s="772"/>
      <c r="G106" s="772"/>
    </row>
    <row r="107" spans="1:7" ht="15">
      <c r="A107" s="101" t="s">
        <v>262</v>
      </c>
      <c r="B107" s="65"/>
      <c r="C107" s="65"/>
      <c r="D107" s="100"/>
      <c r="E107" s="770"/>
      <c r="F107" s="772"/>
      <c r="G107" s="772"/>
    </row>
    <row r="108" spans="1:7" ht="15">
      <c r="A108" s="101" t="s">
        <v>263</v>
      </c>
      <c r="B108" s="65"/>
      <c r="C108" s="65"/>
      <c r="D108" s="100"/>
      <c r="E108" s="770"/>
      <c r="F108" s="772"/>
      <c r="G108" s="772"/>
    </row>
    <row r="109" spans="1:7" ht="15">
      <c r="A109" s="101" t="s">
        <v>264</v>
      </c>
      <c r="B109" s="65"/>
      <c r="C109" s="65"/>
      <c r="D109" s="100"/>
      <c r="E109" s="770"/>
      <c r="F109" s="772"/>
      <c r="G109" s="772"/>
    </row>
    <row r="110" spans="1:7" ht="15">
      <c r="A110" s="101" t="s">
        <v>265</v>
      </c>
      <c r="B110" s="65"/>
      <c r="C110" s="65"/>
      <c r="D110" s="100"/>
      <c r="E110" s="770"/>
      <c r="F110" s="772"/>
      <c r="G110" s="772"/>
    </row>
    <row r="111" spans="1:7" ht="15">
      <c r="A111" s="101" t="s">
        <v>266</v>
      </c>
      <c r="B111" s="65"/>
      <c r="C111" s="65"/>
      <c r="D111" s="100"/>
      <c r="E111" s="770"/>
      <c r="F111" s="772"/>
      <c r="G111" s="772"/>
    </row>
    <row r="112" spans="1:7" ht="15">
      <c r="A112" s="101" t="s">
        <v>267</v>
      </c>
      <c r="B112" s="65"/>
      <c r="C112" s="65"/>
      <c r="D112" s="100"/>
      <c r="E112" s="770"/>
      <c r="F112" s="772"/>
      <c r="G112" s="772"/>
    </row>
    <row r="113" spans="1:7" ht="15">
      <c r="A113" s="101" t="s">
        <v>268</v>
      </c>
      <c r="B113" s="65"/>
      <c r="C113" s="65"/>
      <c r="D113" s="100"/>
      <c r="E113" s="770"/>
      <c r="F113" s="772"/>
      <c r="G113" s="772"/>
    </row>
    <row r="114" spans="1:7" ht="15">
      <c r="A114" s="101" t="s">
        <v>269</v>
      </c>
      <c r="B114" s="65"/>
      <c r="C114" s="65"/>
      <c r="D114" s="100"/>
      <c r="E114" s="770"/>
      <c r="F114" s="772"/>
      <c r="G114" s="772"/>
    </row>
    <row r="115" spans="1:7" ht="15">
      <c r="A115" s="101" t="s">
        <v>270</v>
      </c>
      <c r="B115" s="65"/>
      <c r="C115" s="65"/>
      <c r="D115" s="100"/>
      <c r="E115" s="770"/>
      <c r="F115" s="772"/>
      <c r="G115" s="772"/>
    </row>
    <row r="116" spans="1:7" ht="15">
      <c r="A116" s="101" t="s">
        <v>271</v>
      </c>
      <c r="B116" s="65"/>
      <c r="C116" s="65"/>
      <c r="D116" s="100"/>
      <c r="E116" s="770"/>
      <c r="F116" s="772"/>
      <c r="G116" s="772"/>
    </row>
    <row r="117" spans="1:7" ht="15">
      <c r="A117" s="101" t="s">
        <v>272</v>
      </c>
      <c r="B117" s="65"/>
      <c r="C117" s="65"/>
      <c r="D117" s="100"/>
      <c r="E117" s="770"/>
      <c r="F117" s="772"/>
      <c r="G117" s="772"/>
    </row>
    <row r="118" spans="1:7" ht="15">
      <c r="A118" s="101" t="s">
        <v>273</v>
      </c>
      <c r="B118" s="65"/>
      <c r="C118" s="65"/>
      <c r="D118" s="100"/>
      <c r="E118" s="770"/>
      <c r="F118" s="772"/>
      <c r="G118" s="772"/>
    </row>
    <row r="119" spans="1:7" ht="15">
      <c r="A119" s="101" t="s">
        <v>274</v>
      </c>
      <c r="B119" s="65"/>
      <c r="C119" s="65"/>
      <c r="D119" s="100"/>
      <c r="E119" s="770"/>
      <c r="F119" s="772"/>
      <c r="G119" s="772"/>
    </row>
    <row r="120" spans="1:7" ht="15">
      <c r="A120" s="101" t="s">
        <v>275</v>
      </c>
      <c r="B120" s="65"/>
      <c r="C120" s="65"/>
      <c r="D120" s="100"/>
      <c r="E120" s="770"/>
      <c r="F120" s="772"/>
      <c r="G120" s="772"/>
    </row>
    <row r="121" spans="1:7" ht="15">
      <c r="A121" s="101" t="s">
        <v>276</v>
      </c>
      <c r="B121" s="65"/>
      <c r="C121" s="65"/>
      <c r="D121" s="100"/>
      <c r="E121" s="770"/>
      <c r="F121" s="772"/>
      <c r="G121" s="772"/>
    </row>
    <row r="122" spans="1:2" ht="15">
      <c r="A122" s="95"/>
      <c r="B122" s="65"/>
    </row>
    <row r="123" spans="1:2" ht="15">
      <c r="A123" s="95"/>
      <c r="B123" s="65"/>
    </row>
    <row r="124" spans="1:2" ht="15">
      <c r="A124" s="95"/>
      <c r="B124" s="65"/>
    </row>
    <row r="125" spans="1:2" ht="15">
      <c r="A125" s="95"/>
      <c r="B125" s="65"/>
    </row>
    <row r="126" spans="1:2" ht="15">
      <c r="A126" s="95"/>
      <c r="B126" s="65"/>
    </row>
    <row r="127" spans="1:2" ht="15">
      <c r="A127" s="95"/>
      <c r="B127" s="65"/>
    </row>
    <row r="128" spans="1:2" ht="15">
      <c r="A128" s="95"/>
      <c r="B128" s="65"/>
    </row>
    <row r="129" spans="1:2" ht="15">
      <c r="A129" s="95"/>
      <c r="B129" s="65"/>
    </row>
    <row r="130" spans="1:2" ht="15">
      <c r="A130" s="95"/>
      <c r="B130" s="65"/>
    </row>
    <row r="131" spans="1:2" ht="15">
      <c r="A131" s="95"/>
      <c r="B131" s="65"/>
    </row>
    <row r="132" spans="1:2" ht="15">
      <c r="A132" s="95"/>
      <c r="B132" s="65"/>
    </row>
    <row r="133" spans="1:2" ht="15">
      <c r="A133" s="95"/>
      <c r="B133" s="65"/>
    </row>
    <row r="134" spans="1:2" ht="15">
      <c r="A134" s="95"/>
      <c r="B134" s="65"/>
    </row>
    <row r="135" spans="1:2" ht="15">
      <c r="A135" s="95"/>
      <c r="B135" s="65"/>
    </row>
    <row r="136" spans="1:2" ht="15">
      <c r="A136" s="95"/>
      <c r="B136" s="65"/>
    </row>
    <row r="137" spans="1:2" ht="15">
      <c r="A137" s="95"/>
      <c r="B137" s="65"/>
    </row>
    <row r="138" spans="1:2" ht="15">
      <c r="A138" s="95"/>
      <c r="B138" s="65"/>
    </row>
    <row r="139" spans="1:2" ht="15">
      <c r="A139" s="95"/>
      <c r="B139" s="65"/>
    </row>
    <row r="140" spans="1:2" ht="15">
      <c r="A140" s="95"/>
      <c r="B140" s="65"/>
    </row>
    <row r="141" spans="1:2" ht="15">
      <c r="A141" s="95"/>
      <c r="B141" s="65"/>
    </row>
    <row r="142" spans="1:2" ht="15">
      <c r="A142" s="95"/>
      <c r="B142" s="65"/>
    </row>
    <row r="143" spans="1:2" ht="15">
      <c r="A143" s="95"/>
      <c r="B143" s="65"/>
    </row>
    <row r="144" spans="1:2" ht="15">
      <c r="A144" s="95"/>
      <c r="B144" s="65"/>
    </row>
    <row r="145" spans="1:2" ht="15">
      <c r="A145" s="95"/>
      <c r="B145" s="65"/>
    </row>
    <row r="146" spans="1:2" ht="15">
      <c r="A146" s="95"/>
      <c r="B146" s="65"/>
    </row>
    <row r="147" spans="1:2" ht="15">
      <c r="A147" s="95"/>
      <c r="B147" s="65"/>
    </row>
    <row r="148" spans="1:2" ht="15">
      <c r="A148" s="95"/>
      <c r="B148" s="65"/>
    </row>
    <row r="149" spans="1:2" ht="15">
      <c r="A149" s="95"/>
      <c r="B149" s="65"/>
    </row>
    <row r="150" spans="1:2" ht="15">
      <c r="A150" s="95"/>
      <c r="B150" s="65"/>
    </row>
    <row r="151" spans="1:2" ht="15">
      <c r="A151" s="95"/>
      <c r="B151" s="65"/>
    </row>
    <row r="152" spans="1:2" ht="15">
      <c r="A152" s="95"/>
      <c r="B152" s="65"/>
    </row>
    <row r="153" spans="1:2" ht="15">
      <c r="A153" s="95"/>
      <c r="B153" s="65"/>
    </row>
    <row r="154" spans="1:2" ht="15">
      <c r="A154" s="95"/>
      <c r="B154" s="65"/>
    </row>
    <row r="155" spans="1:2" ht="15">
      <c r="A155" s="95"/>
      <c r="B155" s="65"/>
    </row>
    <row r="156" spans="1:2" ht="15">
      <c r="A156" s="95"/>
      <c r="B156" s="65"/>
    </row>
    <row r="157" spans="1:2" ht="15">
      <c r="A157" s="95"/>
      <c r="B157" s="65"/>
    </row>
    <row r="158" spans="1:2" ht="15">
      <c r="A158" s="95"/>
      <c r="B158" s="65"/>
    </row>
    <row r="159" spans="1:2" ht="15">
      <c r="A159" s="95"/>
      <c r="B159" s="65"/>
    </row>
    <row r="160" spans="1:2" ht="15">
      <c r="A160" s="95"/>
      <c r="B160" s="65"/>
    </row>
    <row r="161" spans="1:2" ht="15">
      <c r="A161" s="95"/>
      <c r="B161" s="65"/>
    </row>
    <row r="162" spans="1:2" ht="15">
      <c r="A162" s="95"/>
      <c r="B162" s="65"/>
    </row>
    <row r="163" spans="1:2" ht="15">
      <c r="A163" s="95"/>
      <c r="B163" s="65"/>
    </row>
    <row r="164" spans="1:2" ht="15">
      <c r="A164" s="95"/>
      <c r="B164" s="65"/>
    </row>
    <row r="165" spans="1:2" ht="15">
      <c r="A165" s="95"/>
      <c r="B165" s="65"/>
    </row>
    <row r="166" spans="1:2" ht="15">
      <c r="A166" s="95"/>
      <c r="B166" s="65"/>
    </row>
    <row r="167" spans="1:2" ht="15">
      <c r="A167" s="95"/>
      <c r="B167" s="65"/>
    </row>
    <row r="168" spans="1:2" ht="15">
      <c r="A168" s="95"/>
      <c r="B168" s="65"/>
    </row>
    <row r="169" spans="1:2" ht="15">
      <c r="A169" s="95"/>
      <c r="B169" s="65"/>
    </row>
    <row r="170" spans="1:2" ht="15">
      <c r="A170" s="95"/>
      <c r="B170" s="65"/>
    </row>
    <row r="171" spans="1:2" ht="15">
      <c r="A171" s="95"/>
      <c r="B171" s="65"/>
    </row>
    <row r="172" spans="1:2" ht="15">
      <c r="A172" s="95"/>
      <c r="B172" s="65"/>
    </row>
    <row r="173" spans="1:2" ht="15">
      <c r="A173" s="95"/>
      <c r="B173" s="65"/>
    </row>
    <row r="174" spans="1:2" ht="15">
      <c r="A174" s="95"/>
      <c r="B174" s="65"/>
    </row>
    <row r="175" spans="1:2" ht="15">
      <c r="A175" s="95"/>
      <c r="B175" s="65"/>
    </row>
    <row r="176" spans="1:2" ht="15">
      <c r="A176" s="95"/>
      <c r="B176" s="65"/>
    </row>
    <row r="177" spans="1:2" ht="15">
      <c r="A177" s="95"/>
      <c r="B177" s="65"/>
    </row>
    <row r="178" spans="1:2" ht="15">
      <c r="A178" s="95"/>
      <c r="B178" s="65"/>
    </row>
    <row r="179" spans="1:2" ht="15">
      <c r="A179" s="95"/>
      <c r="B179" s="65"/>
    </row>
    <row r="180" spans="1:2" ht="15">
      <c r="A180" s="95"/>
      <c r="B180" s="65"/>
    </row>
    <row r="181" spans="1:2" ht="15">
      <c r="A181" s="95"/>
      <c r="B181" s="65"/>
    </row>
    <row r="182" spans="1:2" ht="15">
      <c r="A182" s="95"/>
      <c r="B182" s="65"/>
    </row>
    <row r="183" spans="1:2" ht="15">
      <c r="A183" s="95"/>
      <c r="B183" s="65"/>
    </row>
    <row r="184" spans="1:2" ht="15">
      <c r="A184" s="95"/>
      <c r="B184" s="65"/>
    </row>
    <row r="185" spans="1:2" ht="15">
      <c r="A185" s="95"/>
      <c r="B185" s="65"/>
    </row>
    <row r="186" spans="1:2" ht="15">
      <c r="A186" s="95"/>
      <c r="B186" s="65"/>
    </row>
    <row r="187" spans="1:2" ht="15">
      <c r="A187" s="95"/>
      <c r="B187" s="65"/>
    </row>
    <row r="188" spans="1:2" ht="15">
      <c r="A188" s="95"/>
      <c r="B188" s="65"/>
    </row>
    <row r="189" spans="1:2" ht="15">
      <c r="A189" s="95"/>
      <c r="B189" s="65"/>
    </row>
    <row r="190" spans="1:2" ht="15">
      <c r="A190" s="95"/>
      <c r="B190" s="65"/>
    </row>
    <row r="191" spans="1:2" ht="15">
      <c r="A191" s="95"/>
      <c r="B191" s="65"/>
    </row>
    <row r="192" spans="1:2" ht="15">
      <c r="A192" s="95"/>
      <c r="B192" s="65"/>
    </row>
    <row r="193" spans="1:2" ht="15">
      <c r="A193" s="95"/>
      <c r="B193" s="65"/>
    </row>
    <row r="194" spans="1:2" ht="15">
      <c r="A194" s="95"/>
      <c r="B194" s="65"/>
    </row>
    <row r="195" spans="1:2" ht="15">
      <c r="A195" s="95"/>
      <c r="B195" s="65"/>
    </row>
    <row r="196" spans="1:2" ht="15">
      <c r="A196" s="95"/>
      <c r="B196" s="65"/>
    </row>
    <row r="197" spans="1:2" ht="15">
      <c r="A197" s="95"/>
      <c r="B197" s="65"/>
    </row>
    <row r="198" spans="1:2" ht="15">
      <c r="A198" s="95"/>
      <c r="B198" s="65"/>
    </row>
    <row r="199" spans="1:2" ht="15">
      <c r="A199" s="95"/>
      <c r="B199" s="65"/>
    </row>
    <row r="200" spans="1:2" ht="15">
      <c r="A200" s="95"/>
      <c r="B200" s="65"/>
    </row>
    <row r="201" spans="1:2" ht="15">
      <c r="A201" s="95"/>
      <c r="B201" s="65"/>
    </row>
    <row r="202" spans="1:2" ht="15">
      <c r="A202" s="95"/>
      <c r="B202" s="65"/>
    </row>
    <row r="203" spans="1:2" ht="15">
      <c r="A203" s="95"/>
      <c r="B203" s="65"/>
    </row>
    <row r="204" spans="1:2" ht="15">
      <c r="A204" s="95"/>
      <c r="B204" s="65"/>
    </row>
    <row r="205" spans="1:2" ht="15">
      <c r="A205" s="95"/>
      <c r="B205" s="65"/>
    </row>
    <row r="206" spans="1:2" ht="15">
      <c r="A206" s="95"/>
      <c r="B206" s="65"/>
    </row>
    <row r="207" spans="1:2" ht="15">
      <c r="A207" s="95"/>
      <c r="B207" s="65"/>
    </row>
    <row r="208" spans="1:2" ht="15">
      <c r="A208" s="95"/>
      <c r="B208" s="65"/>
    </row>
    <row r="209" spans="1:2" ht="15">
      <c r="A209" s="95"/>
      <c r="B209" s="65"/>
    </row>
    <row r="210" spans="1:2" ht="15">
      <c r="A210" s="95"/>
      <c r="B210" s="65"/>
    </row>
    <row r="211" spans="1:2" ht="15">
      <c r="A211" s="95"/>
      <c r="B211" s="65"/>
    </row>
    <row r="212" spans="1:2" ht="15">
      <c r="A212" s="95"/>
      <c r="B212" s="65"/>
    </row>
    <row r="213" spans="1:2" ht="15">
      <c r="A213" s="95"/>
      <c r="B213" s="65"/>
    </row>
    <row r="214" spans="1:2" ht="15">
      <c r="A214" s="95"/>
      <c r="B214" s="65"/>
    </row>
    <row r="215" spans="1:2" ht="15">
      <c r="A215" s="95"/>
      <c r="B215" s="65"/>
    </row>
    <row r="216" spans="1:2" ht="15">
      <c r="A216" s="95"/>
      <c r="B216" s="65"/>
    </row>
    <row r="217" spans="1:2" ht="15">
      <c r="A217" s="95"/>
      <c r="B217" s="65"/>
    </row>
    <row r="218" spans="1:2" ht="15">
      <c r="A218" s="95"/>
      <c r="B218" s="65"/>
    </row>
    <row r="219" spans="1:2" ht="15">
      <c r="A219" s="95"/>
      <c r="B219" s="65"/>
    </row>
    <row r="220" spans="1:2" ht="15">
      <c r="A220" s="95"/>
      <c r="B220" s="65"/>
    </row>
    <row r="221" spans="1:2" ht="15">
      <c r="A221" s="95"/>
      <c r="B221" s="65"/>
    </row>
    <row r="222" spans="1:2" ht="15">
      <c r="A222" s="95"/>
      <c r="B222" s="65"/>
    </row>
    <row r="223" spans="1:2" ht="15">
      <c r="A223" s="95"/>
      <c r="B223" s="65"/>
    </row>
    <row r="224" spans="1:2" ht="15">
      <c r="A224" s="95"/>
      <c r="B224" s="65"/>
    </row>
    <row r="225" spans="1:2" ht="15">
      <c r="A225" s="95"/>
      <c r="B225" s="65"/>
    </row>
    <row r="226" spans="1:2" ht="15">
      <c r="A226" s="95"/>
      <c r="B226" s="65"/>
    </row>
    <row r="227" spans="1:2" ht="15">
      <c r="A227" s="95"/>
      <c r="B227" s="65"/>
    </row>
    <row r="228" spans="1:2" ht="15">
      <c r="A228" s="95"/>
      <c r="B228" s="65"/>
    </row>
    <row r="229" spans="1:2" ht="15">
      <c r="A229" s="95"/>
      <c r="B229" s="65"/>
    </row>
    <row r="230" spans="1:2" ht="15">
      <c r="A230" s="95"/>
      <c r="B230" s="65"/>
    </row>
    <row r="231" spans="1:2" ht="15">
      <c r="A231" s="95"/>
      <c r="B231" s="65"/>
    </row>
    <row r="232" spans="1:2" ht="15">
      <c r="A232" s="95"/>
      <c r="B232" s="65"/>
    </row>
    <row r="233" spans="1:2" ht="15">
      <c r="A233" s="95"/>
      <c r="B233" s="65"/>
    </row>
    <row r="234" spans="1:2" ht="15">
      <c r="A234" s="95"/>
      <c r="B234" s="65"/>
    </row>
    <row r="235" spans="1:2" ht="15">
      <c r="A235" s="95"/>
      <c r="B235" s="65"/>
    </row>
    <row r="236" spans="1:2" ht="15">
      <c r="A236" s="95"/>
      <c r="B236" s="65"/>
    </row>
    <row r="237" spans="1:2" ht="15">
      <c r="A237" s="95"/>
      <c r="B237" s="65"/>
    </row>
    <row r="238" spans="1:2" ht="15">
      <c r="A238" s="95"/>
      <c r="B238" s="65"/>
    </row>
    <row r="239" spans="1:2" ht="15">
      <c r="A239" s="95"/>
      <c r="B239" s="65"/>
    </row>
    <row r="240" spans="1:2" ht="15">
      <c r="A240" s="95"/>
      <c r="B240" s="65"/>
    </row>
    <row r="241" spans="1:2" ht="15">
      <c r="A241" s="95"/>
      <c r="B241" s="65"/>
    </row>
    <row r="242" spans="1:2" ht="15">
      <c r="A242" s="95"/>
      <c r="B242" s="65"/>
    </row>
    <row r="243" spans="1:2" ht="15">
      <c r="A243" s="95"/>
      <c r="B243" s="65"/>
    </row>
    <row r="244" spans="1:2" ht="15">
      <c r="A244" s="95"/>
      <c r="B244" s="65"/>
    </row>
    <row r="245" spans="1:2" ht="15">
      <c r="A245" s="95"/>
      <c r="B245" s="65"/>
    </row>
    <row r="246" spans="1:2" ht="15">
      <c r="A246" s="95"/>
      <c r="B246" s="65"/>
    </row>
    <row r="247" spans="1:2" ht="15">
      <c r="A247" s="95"/>
      <c r="B247" s="65"/>
    </row>
    <row r="248" spans="1:2" ht="15">
      <c r="A248" s="95"/>
      <c r="B248" s="65"/>
    </row>
    <row r="249" spans="1:2" ht="15">
      <c r="A249" s="95"/>
      <c r="B249" s="65"/>
    </row>
    <row r="250" spans="1:2" ht="15">
      <c r="A250" s="95"/>
      <c r="B250" s="65"/>
    </row>
    <row r="251" spans="1:2" ht="15">
      <c r="A251" s="95"/>
      <c r="B251" s="65"/>
    </row>
    <row r="252" spans="1:2" ht="15">
      <c r="A252" s="95"/>
      <c r="B252" s="65"/>
    </row>
    <row r="253" spans="1:2" ht="15">
      <c r="A253" s="95"/>
      <c r="B253" s="65"/>
    </row>
    <row r="254" spans="1:2" ht="15">
      <c r="A254" s="95"/>
      <c r="B254" s="65"/>
    </row>
    <row r="255" spans="1:2" ht="15">
      <c r="A255" s="95"/>
      <c r="B255" s="65"/>
    </row>
    <row r="256" spans="1:2" ht="15">
      <c r="A256" s="95"/>
      <c r="B256" s="65"/>
    </row>
    <row r="257" spans="1:2" ht="15">
      <c r="A257" s="95"/>
      <c r="B257" s="65"/>
    </row>
    <row r="258" spans="1:2" ht="15">
      <c r="A258" s="95"/>
      <c r="B258" s="65"/>
    </row>
    <row r="259" spans="1:2" ht="15">
      <c r="A259" s="95"/>
      <c r="B259" s="65"/>
    </row>
    <row r="260" spans="1:2" ht="15">
      <c r="A260" s="95"/>
      <c r="B260" s="65"/>
    </row>
    <row r="261" spans="1:2" ht="15">
      <c r="A261" s="95"/>
      <c r="B261" s="65"/>
    </row>
    <row r="262" spans="1:2" ht="15">
      <c r="A262" s="95"/>
      <c r="B262" s="65"/>
    </row>
    <row r="263" spans="1:2" ht="15">
      <c r="A263" s="95"/>
      <c r="B263" s="65"/>
    </row>
    <row r="264" spans="1:2" ht="15">
      <c r="A264" s="95"/>
      <c r="B264" s="65"/>
    </row>
    <row r="265" spans="1:2" ht="15">
      <c r="A265" s="95"/>
      <c r="B265" s="65"/>
    </row>
    <row r="266" spans="1:2" ht="15">
      <c r="A266" s="95"/>
      <c r="B266" s="65"/>
    </row>
    <row r="267" spans="1:2" ht="15">
      <c r="A267" s="95"/>
      <c r="B267" s="65"/>
    </row>
    <row r="268" spans="1:2" ht="15">
      <c r="A268" s="95"/>
      <c r="B268" s="65"/>
    </row>
    <row r="269" spans="1:2" ht="15">
      <c r="A269" s="95"/>
      <c r="B269" s="65"/>
    </row>
    <row r="270" spans="1:2" ht="15">
      <c r="A270" s="95"/>
      <c r="B270" s="65"/>
    </row>
    <row r="271" spans="1:2" ht="15">
      <c r="A271" s="95"/>
      <c r="B271" s="65"/>
    </row>
    <row r="272" spans="1:2" ht="15">
      <c r="A272" s="95"/>
      <c r="B272" s="65"/>
    </row>
    <row r="273" spans="1:2" ht="15">
      <c r="A273" s="95"/>
      <c r="B273" s="65"/>
    </row>
    <row r="274" spans="1:2" ht="15">
      <c r="A274" s="95"/>
      <c r="B274" s="65"/>
    </row>
    <row r="275" spans="1:2" ht="15">
      <c r="A275" s="95"/>
      <c r="B275" s="65"/>
    </row>
    <row r="276" spans="1:2" ht="15">
      <c r="A276" s="95"/>
      <c r="B276" s="65"/>
    </row>
    <row r="277" spans="1:2" ht="15">
      <c r="A277" s="95"/>
      <c r="B277" s="65"/>
    </row>
    <row r="278" spans="1:2" ht="15">
      <c r="A278" s="95"/>
      <c r="B278" s="65"/>
    </row>
    <row r="279" spans="1:2" ht="15">
      <c r="A279" s="95"/>
      <c r="B279" s="65"/>
    </row>
    <row r="280" spans="1:2" ht="15">
      <c r="A280" s="95"/>
      <c r="B280" s="65"/>
    </row>
    <row r="281" spans="1:2" ht="15">
      <c r="A281" s="95"/>
      <c r="B281" s="65"/>
    </row>
    <row r="282" spans="1:2" ht="15">
      <c r="A282" s="95"/>
      <c r="B282" s="65"/>
    </row>
    <row r="283" spans="1:2" ht="15">
      <c r="A283" s="95"/>
      <c r="B283" s="65"/>
    </row>
    <row r="284" spans="1:2" ht="15">
      <c r="A284" s="95"/>
      <c r="B284" s="65"/>
    </row>
    <row r="285" spans="1:2" ht="15">
      <c r="A285" s="95"/>
      <c r="B285" s="65"/>
    </row>
    <row r="286" spans="1:2" ht="15">
      <c r="A286" s="95"/>
      <c r="B286" s="65"/>
    </row>
    <row r="287" spans="1:2" ht="15">
      <c r="A287" s="95"/>
      <c r="B287" s="65"/>
    </row>
    <row r="288" spans="1:2" ht="15">
      <c r="A288" s="95"/>
      <c r="B288" s="65"/>
    </row>
    <row r="289" spans="1:2" ht="15">
      <c r="A289" s="95"/>
      <c r="B289" s="65"/>
    </row>
    <row r="290" spans="1:2" ht="15">
      <c r="A290" s="95"/>
      <c r="B290" s="65"/>
    </row>
    <row r="291" spans="1:2" ht="15">
      <c r="A291" s="95"/>
      <c r="B291" s="65"/>
    </row>
    <row r="292" spans="1:2" ht="15">
      <c r="A292" s="95"/>
      <c r="B292" s="65"/>
    </row>
    <row r="293" spans="1:2" ht="15">
      <c r="A293" s="95"/>
      <c r="B293" s="65"/>
    </row>
    <row r="294" spans="1:2" ht="15">
      <c r="A294" s="95"/>
      <c r="B294" s="65"/>
    </row>
    <row r="295" spans="1:2" ht="15">
      <c r="A295" s="95"/>
      <c r="B295" s="65"/>
    </row>
    <row r="296" spans="1:2" ht="15">
      <c r="A296" s="95"/>
      <c r="B296" s="65"/>
    </row>
    <row r="297" spans="1:2" ht="15">
      <c r="A297" s="95"/>
      <c r="B297" s="65"/>
    </row>
    <row r="298" spans="1:2" ht="15">
      <c r="A298" s="95"/>
      <c r="B298" s="65"/>
    </row>
    <row r="299" spans="1:2" ht="15">
      <c r="A299" s="95"/>
      <c r="B299" s="65"/>
    </row>
    <row r="300" spans="1:2" ht="15">
      <c r="A300" s="95"/>
      <c r="B300" s="65"/>
    </row>
    <row r="301" spans="1:2" ht="15">
      <c r="A301" s="95"/>
      <c r="B301" s="65"/>
    </row>
    <row r="302" spans="1:2" ht="15">
      <c r="A302" s="95"/>
      <c r="B302" s="65"/>
    </row>
    <row r="303" spans="1:2" ht="15">
      <c r="A303" s="95"/>
      <c r="B303" s="65"/>
    </row>
    <row r="304" ht="15">
      <c r="B304" s="65">
        <f aca="true" t="shared" si="0" ref="B304:B365">B303+1</f>
        <v>1</v>
      </c>
    </row>
    <row r="305" ht="15">
      <c r="B305" s="65">
        <f t="shared" si="0"/>
        <v>2</v>
      </c>
    </row>
    <row r="306" ht="15">
      <c r="B306" s="65">
        <f t="shared" si="0"/>
        <v>3</v>
      </c>
    </row>
    <row r="307" ht="15">
      <c r="B307" s="65">
        <f t="shared" si="0"/>
        <v>4</v>
      </c>
    </row>
    <row r="308" ht="15">
      <c r="B308" s="65">
        <f t="shared" si="0"/>
        <v>5</v>
      </c>
    </row>
    <row r="309" ht="15">
      <c r="B309" s="65">
        <f t="shared" si="0"/>
        <v>6</v>
      </c>
    </row>
    <row r="310" ht="15">
      <c r="B310" s="65">
        <f t="shared" si="0"/>
        <v>7</v>
      </c>
    </row>
    <row r="311" ht="15">
      <c r="B311" s="65">
        <f t="shared" si="0"/>
        <v>8</v>
      </c>
    </row>
    <row r="312" ht="15">
      <c r="B312" s="65">
        <f t="shared" si="0"/>
        <v>9</v>
      </c>
    </row>
    <row r="313" ht="15">
      <c r="B313" s="65">
        <f t="shared" si="0"/>
        <v>10</v>
      </c>
    </row>
    <row r="314" ht="15">
      <c r="B314" s="65">
        <f t="shared" si="0"/>
        <v>11</v>
      </c>
    </row>
    <row r="315" ht="15">
      <c r="B315" s="65">
        <f t="shared" si="0"/>
        <v>12</v>
      </c>
    </row>
    <row r="316" ht="15">
      <c r="B316" s="65">
        <f t="shared" si="0"/>
        <v>13</v>
      </c>
    </row>
    <row r="317" ht="15">
      <c r="B317" s="65">
        <f t="shared" si="0"/>
        <v>14</v>
      </c>
    </row>
    <row r="318" ht="15">
      <c r="B318" s="65">
        <f t="shared" si="0"/>
        <v>15</v>
      </c>
    </row>
    <row r="319" ht="15">
      <c r="B319" s="65">
        <f t="shared" si="0"/>
        <v>16</v>
      </c>
    </row>
    <row r="320" ht="15">
      <c r="B320" s="65">
        <f t="shared" si="0"/>
        <v>17</v>
      </c>
    </row>
    <row r="321" ht="15">
      <c r="B321" s="65">
        <f t="shared" si="0"/>
        <v>18</v>
      </c>
    </row>
    <row r="322" ht="15">
      <c r="B322" s="65">
        <f t="shared" si="0"/>
        <v>19</v>
      </c>
    </row>
    <row r="323" ht="15">
      <c r="B323" s="65">
        <f t="shared" si="0"/>
        <v>20</v>
      </c>
    </row>
    <row r="324" ht="15">
      <c r="B324" s="65">
        <f t="shared" si="0"/>
        <v>21</v>
      </c>
    </row>
    <row r="325" ht="15">
      <c r="B325" s="65">
        <f t="shared" si="0"/>
        <v>22</v>
      </c>
    </row>
    <row r="326" ht="15">
      <c r="B326" s="65">
        <f t="shared" si="0"/>
        <v>23</v>
      </c>
    </row>
    <row r="327" ht="15">
      <c r="B327" s="65">
        <f t="shared" si="0"/>
        <v>24</v>
      </c>
    </row>
    <row r="328" ht="15">
      <c r="B328" s="65">
        <f t="shared" si="0"/>
        <v>25</v>
      </c>
    </row>
    <row r="329" ht="15">
      <c r="B329" s="65">
        <f t="shared" si="0"/>
        <v>26</v>
      </c>
    </row>
    <row r="330" ht="15">
      <c r="B330" s="65">
        <f t="shared" si="0"/>
        <v>27</v>
      </c>
    </row>
    <row r="331" ht="15">
      <c r="B331" s="65">
        <f t="shared" si="0"/>
        <v>28</v>
      </c>
    </row>
    <row r="332" ht="15">
      <c r="B332" s="65">
        <f t="shared" si="0"/>
        <v>29</v>
      </c>
    </row>
    <row r="333" ht="15">
      <c r="B333" s="65">
        <f t="shared" si="0"/>
        <v>30</v>
      </c>
    </row>
    <row r="334" ht="15">
      <c r="B334" s="65">
        <f t="shared" si="0"/>
        <v>31</v>
      </c>
    </row>
    <row r="335" ht="15">
      <c r="B335" s="65">
        <f t="shared" si="0"/>
        <v>32</v>
      </c>
    </row>
    <row r="336" ht="15">
      <c r="B336" s="65">
        <f t="shared" si="0"/>
        <v>33</v>
      </c>
    </row>
    <row r="337" ht="15">
      <c r="B337" s="65">
        <f t="shared" si="0"/>
        <v>34</v>
      </c>
    </row>
    <row r="338" ht="15">
      <c r="B338" s="65">
        <f t="shared" si="0"/>
        <v>35</v>
      </c>
    </row>
    <row r="339" ht="15">
      <c r="B339" s="65">
        <f t="shared" si="0"/>
        <v>36</v>
      </c>
    </row>
    <row r="340" ht="15">
      <c r="B340" s="65">
        <f t="shared" si="0"/>
        <v>37</v>
      </c>
    </row>
    <row r="341" ht="15">
      <c r="B341" s="65">
        <f t="shared" si="0"/>
        <v>38</v>
      </c>
    </row>
    <row r="342" ht="15">
      <c r="B342" s="65">
        <f t="shared" si="0"/>
        <v>39</v>
      </c>
    </row>
    <row r="343" ht="15">
      <c r="B343" s="65">
        <f t="shared" si="0"/>
        <v>40</v>
      </c>
    </row>
    <row r="344" ht="15">
      <c r="B344" s="65">
        <f t="shared" si="0"/>
        <v>41</v>
      </c>
    </row>
    <row r="345" ht="15">
      <c r="B345" s="65">
        <f t="shared" si="0"/>
        <v>42</v>
      </c>
    </row>
    <row r="346" ht="15">
      <c r="B346" s="65">
        <f t="shared" si="0"/>
        <v>43</v>
      </c>
    </row>
    <row r="347" ht="15">
      <c r="B347" s="65">
        <f t="shared" si="0"/>
        <v>44</v>
      </c>
    </row>
    <row r="348" ht="15">
      <c r="B348" s="65">
        <f t="shared" si="0"/>
        <v>45</v>
      </c>
    </row>
    <row r="349" ht="15">
      <c r="B349" s="65">
        <f t="shared" si="0"/>
        <v>46</v>
      </c>
    </row>
    <row r="350" ht="15">
      <c r="B350" s="65">
        <f t="shared" si="0"/>
        <v>47</v>
      </c>
    </row>
    <row r="351" ht="15">
      <c r="B351" s="65">
        <f t="shared" si="0"/>
        <v>48</v>
      </c>
    </row>
    <row r="352" ht="15">
      <c r="B352" s="65">
        <f t="shared" si="0"/>
        <v>49</v>
      </c>
    </row>
    <row r="353" ht="15">
      <c r="B353" s="65">
        <f t="shared" si="0"/>
        <v>50</v>
      </c>
    </row>
    <row r="354" ht="15">
      <c r="B354" s="65">
        <f t="shared" si="0"/>
        <v>51</v>
      </c>
    </row>
    <row r="355" ht="15">
      <c r="B355" s="65">
        <f t="shared" si="0"/>
        <v>52</v>
      </c>
    </row>
    <row r="356" ht="15">
      <c r="B356" s="65">
        <f t="shared" si="0"/>
        <v>53</v>
      </c>
    </row>
    <row r="357" ht="15">
      <c r="B357" s="65">
        <f t="shared" si="0"/>
        <v>54</v>
      </c>
    </row>
    <row r="358" ht="15">
      <c r="B358" s="65">
        <f t="shared" si="0"/>
        <v>55</v>
      </c>
    </row>
    <row r="359" ht="15">
      <c r="B359" s="65">
        <f t="shared" si="0"/>
        <v>56</v>
      </c>
    </row>
    <row r="360" ht="15">
      <c r="B360" s="65">
        <f t="shared" si="0"/>
        <v>57</v>
      </c>
    </row>
    <row r="361" ht="15">
      <c r="B361" s="65">
        <f t="shared" si="0"/>
        <v>58</v>
      </c>
    </row>
    <row r="362" ht="15">
      <c r="B362" s="65">
        <f t="shared" si="0"/>
        <v>59</v>
      </c>
    </row>
    <row r="363" ht="15">
      <c r="B363" s="65">
        <f t="shared" si="0"/>
        <v>60</v>
      </c>
    </row>
    <row r="364" ht="15">
      <c r="B364" s="65">
        <f t="shared" si="0"/>
        <v>61</v>
      </c>
    </row>
    <row r="365" ht="15">
      <c r="B365" s="65">
        <f t="shared" si="0"/>
        <v>62</v>
      </c>
    </row>
    <row r="366" ht="15">
      <c r="B366" s="65">
        <f aca="true" t="shared" si="1" ref="B366:B382">B365+1</f>
        <v>63</v>
      </c>
    </row>
    <row r="367" ht="15">
      <c r="B367" s="65">
        <f t="shared" si="1"/>
        <v>64</v>
      </c>
    </row>
    <row r="368" ht="15">
      <c r="B368" s="65">
        <f t="shared" si="1"/>
        <v>65</v>
      </c>
    </row>
    <row r="369" ht="15">
      <c r="B369" s="65">
        <f t="shared" si="1"/>
        <v>66</v>
      </c>
    </row>
    <row r="370" ht="15">
      <c r="B370" s="65">
        <f t="shared" si="1"/>
        <v>67</v>
      </c>
    </row>
    <row r="371" ht="15">
      <c r="B371" s="65">
        <f t="shared" si="1"/>
        <v>68</v>
      </c>
    </row>
    <row r="372" ht="15">
      <c r="B372" s="65">
        <f t="shared" si="1"/>
        <v>69</v>
      </c>
    </row>
    <row r="373" ht="15">
      <c r="B373" s="65">
        <f t="shared" si="1"/>
        <v>70</v>
      </c>
    </row>
    <row r="374" ht="15">
      <c r="B374" s="65">
        <f t="shared" si="1"/>
        <v>71</v>
      </c>
    </row>
    <row r="375" ht="15">
      <c r="B375" s="65">
        <f t="shared" si="1"/>
        <v>72</v>
      </c>
    </row>
    <row r="376" ht="15">
      <c r="B376" s="65">
        <f t="shared" si="1"/>
        <v>73</v>
      </c>
    </row>
    <row r="377" ht="15">
      <c r="B377" s="65">
        <f t="shared" si="1"/>
        <v>74</v>
      </c>
    </row>
    <row r="378" ht="15">
      <c r="B378" s="65">
        <f t="shared" si="1"/>
        <v>75</v>
      </c>
    </row>
    <row r="379" ht="15">
      <c r="B379" s="65">
        <f t="shared" si="1"/>
        <v>76</v>
      </c>
    </row>
    <row r="380" ht="15">
      <c r="B380" s="65">
        <f t="shared" si="1"/>
        <v>77</v>
      </c>
    </row>
    <row r="381" ht="15">
      <c r="B381" s="65">
        <f t="shared" si="1"/>
        <v>78</v>
      </c>
    </row>
    <row r="382" ht="15">
      <c r="B382" s="65">
        <f t="shared" si="1"/>
        <v>79</v>
      </c>
    </row>
  </sheetData>
  <sheetProtection sheet="1" objects="1" scenarios="1"/>
  <mergeCells count="80">
    <mergeCell ref="E42:G42"/>
    <mergeCell ref="E43:G43"/>
    <mergeCell ref="E44:G44"/>
    <mergeCell ref="E49:G49"/>
    <mergeCell ref="E45:G45"/>
    <mergeCell ref="E46:G46"/>
    <mergeCell ref="E47:G47"/>
    <mergeCell ref="E48:G48"/>
    <mergeCell ref="E119:G119"/>
    <mergeCell ref="E120:G120"/>
    <mergeCell ref="E109:G109"/>
    <mergeCell ref="E110:G110"/>
    <mergeCell ref="E103:G103"/>
    <mergeCell ref="E121:G121"/>
    <mergeCell ref="E116:G116"/>
    <mergeCell ref="E117:G117"/>
    <mergeCell ref="E118:G118"/>
    <mergeCell ref="E115:G115"/>
    <mergeCell ref="E111:G111"/>
    <mergeCell ref="E112:G112"/>
    <mergeCell ref="E113:G113"/>
    <mergeCell ref="E114:G114"/>
    <mergeCell ref="E107:G107"/>
    <mergeCell ref="E108:G108"/>
    <mergeCell ref="E104:G104"/>
    <mergeCell ref="E105:G105"/>
    <mergeCell ref="E106:G106"/>
    <mergeCell ref="E99:G99"/>
    <mergeCell ref="E100:G100"/>
    <mergeCell ref="E101:G101"/>
    <mergeCell ref="E102:G102"/>
    <mergeCell ref="E95:G95"/>
    <mergeCell ref="E96:G96"/>
    <mergeCell ref="E97:G97"/>
    <mergeCell ref="E98:G98"/>
    <mergeCell ref="E91:G91"/>
    <mergeCell ref="E92:G92"/>
    <mergeCell ref="E93:G93"/>
    <mergeCell ref="E94:G94"/>
    <mergeCell ref="E87:G87"/>
    <mergeCell ref="E88:G88"/>
    <mergeCell ref="E89:G89"/>
    <mergeCell ref="E90:G90"/>
    <mergeCell ref="E83:G83"/>
    <mergeCell ref="E84:G84"/>
    <mergeCell ref="E85:G85"/>
    <mergeCell ref="E86:G86"/>
    <mergeCell ref="E79:G79"/>
    <mergeCell ref="E80:G80"/>
    <mergeCell ref="E81:G81"/>
    <mergeCell ref="E82:G82"/>
    <mergeCell ref="E75:G75"/>
    <mergeCell ref="E76:G76"/>
    <mergeCell ref="E77:G77"/>
    <mergeCell ref="E78:G78"/>
    <mergeCell ref="E71:G71"/>
    <mergeCell ref="E72:G72"/>
    <mergeCell ref="E73:G73"/>
    <mergeCell ref="E74:G74"/>
    <mergeCell ref="E67:G67"/>
    <mergeCell ref="E68:G68"/>
    <mergeCell ref="E69:G69"/>
    <mergeCell ref="E70:G70"/>
    <mergeCell ref="E63:G63"/>
    <mergeCell ref="E64:G64"/>
    <mergeCell ref="E65:G65"/>
    <mergeCell ref="E66:G66"/>
    <mergeCell ref="E59:G59"/>
    <mergeCell ref="E60:G60"/>
    <mergeCell ref="E61:G61"/>
    <mergeCell ref="E62:G62"/>
    <mergeCell ref="E55:G55"/>
    <mergeCell ref="E56:G56"/>
    <mergeCell ref="E57:G57"/>
    <mergeCell ref="E58:G58"/>
    <mergeCell ref="E50:G50"/>
    <mergeCell ref="E51:G51"/>
    <mergeCell ref="E52:G52"/>
    <mergeCell ref="E54:G54"/>
    <mergeCell ref="E53:G5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indexed="9"/>
  </sheetPr>
  <dimension ref="A1:B21"/>
  <sheetViews>
    <sheetView workbookViewId="0" topLeftCell="A5">
      <selection activeCell="B8" sqref="B8"/>
    </sheetView>
  </sheetViews>
  <sheetFormatPr defaultColWidth="9.140625" defaultRowHeight="12.75"/>
  <cols>
    <col min="1" max="1" width="22.00390625" style="0" bestFit="1" customWidth="1"/>
    <col min="2" max="2" width="14.57421875" style="0" bestFit="1" customWidth="1"/>
  </cols>
  <sheetData>
    <row r="1" ht="15">
      <c r="A1" s="82" t="s">
        <v>188</v>
      </c>
    </row>
    <row r="2" spans="1:2" ht="18.75">
      <c r="A2" s="87" t="s">
        <v>194</v>
      </c>
      <c r="B2" s="88">
        <v>27.67999</v>
      </c>
    </row>
    <row r="3" spans="1:2" ht="17.25">
      <c r="A3" s="87" t="s">
        <v>195</v>
      </c>
      <c r="B3" s="88">
        <v>16.387064</v>
      </c>
    </row>
    <row r="4" spans="1:2" ht="18">
      <c r="A4" s="87" t="s">
        <v>196</v>
      </c>
      <c r="B4" s="89">
        <v>0.4535924</v>
      </c>
    </row>
    <row r="5" spans="1:2" ht="15">
      <c r="A5" s="90" t="s">
        <v>189</v>
      </c>
      <c r="B5" s="89">
        <v>0.101972</v>
      </c>
    </row>
    <row r="6" spans="1:2" ht="17.25">
      <c r="A6" s="87" t="s">
        <v>197</v>
      </c>
      <c r="B6" s="88">
        <v>32.16</v>
      </c>
    </row>
    <row r="7" spans="1:2" ht="17.25">
      <c r="A7" s="87" t="s">
        <v>198</v>
      </c>
      <c r="B7" s="91">
        <f>B6*12</f>
        <v>385.91999999999996</v>
      </c>
    </row>
    <row r="8" spans="1:2" ht="17.25">
      <c r="A8" s="87" t="s">
        <v>199</v>
      </c>
      <c r="B8" s="91">
        <f>B6*0.3048</f>
        <v>9.802368</v>
      </c>
    </row>
    <row r="9" spans="1:2" ht="18">
      <c r="A9" s="87" t="s">
        <v>200</v>
      </c>
      <c r="B9" s="88">
        <v>0.2248089</v>
      </c>
    </row>
    <row r="10" spans="1:2" ht="15">
      <c r="A10" s="64" t="s">
        <v>190</v>
      </c>
      <c r="B10" s="92">
        <v>0.254</v>
      </c>
    </row>
    <row r="11" spans="1:2" ht="18">
      <c r="A11" s="87" t="s">
        <v>201</v>
      </c>
      <c r="B11" s="92">
        <v>0.1129848</v>
      </c>
    </row>
    <row r="12" spans="1:2" ht="18.75">
      <c r="A12" s="87" t="s">
        <v>202</v>
      </c>
      <c r="B12" s="88">
        <v>6894.759086775369</v>
      </c>
    </row>
    <row r="13" spans="1:2" ht="18.75">
      <c r="A13" s="87" t="s">
        <v>203</v>
      </c>
      <c r="B13" s="93">
        <v>6.894733</v>
      </c>
    </row>
    <row r="14" spans="1:2" ht="18.75">
      <c r="A14" s="87" t="s">
        <v>204</v>
      </c>
      <c r="B14" s="93">
        <v>0.00689475729</v>
      </c>
    </row>
    <row r="15" spans="1:2" ht="18.75">
      <c r="A15" s="87" t="s">
        <v>205</v>
      </c>
      <c r="B15" s="64">
        <v>0.689475729</v>
      </c>
    </row>
    <row r="16" spans="1:2" ht="17.25">
      <c r="A16" s="87" t="s">
        <v>206</v>
      </c>
      <c r="B16" s="64">
        <v>0.070306958</v>
      </c>
    </row>
    <row r="17" spans="1:2" ht="15">
      <c r="A17" s="90" t="s">
        <v>191</v>
      </c>
      <c r="B17" s="64">
        <v>100</v>
      </c>
    </row>
    <row r="18" spans="1:2" ht="18">
      <c r="A18" s="87" t="s">
        <v>207</v>
      </c>
      <c r="B18" s="94">
        <v>445000</v>
      </c>
    </row>
    <row r="19" spans="1:2" ht="15">
      <c r="A19" s="90" t="s">
        <v>192</v>
      </c>
      <c r="B19" s="64">
        <v>100000</v>
      </c>
    </row>
    <row r="20" spans="1:2" ht="15">
      <c r="A20" s="90" t="s">
        <v>193</v>
      </c>
      <c r="B20" s="94">
        <v>981000</v>
      </c>
    </row>
    <row r="21" spans="1:2" ht="17.25">
      <c r="A21" s="87" t="s">
        <v>208</v>
      </c>
      <c r="B21" s="64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L44"/>
  <sheetViews>
    <sheetView zoomScale="85" zoomScaleNormal="85" workbookViewId="0" topLeftCell="A49">
      <selection activeCell="N111" sqref="N111"/>
    </sheetView>
  </sheetViews>
  <sheetFormatPr defaultColWidth="9.140625" defaultRowHeight="12.75"/>
  <cols>
    <col min="2" max="2" width="9.00390625" style="0" customWidth="1"/>
    <col min="3" max="3" width="9.28125" style="0" customWidth="1"/>
    <col min="4" max="10" width="9.00390625" style="0" customWidth="1"/>
  </cols>
  <sheetData>
    <row r="1" spans="1:10" ht="12.75" customHeight="1">
      <c r="A1" s="1" t="s">
        <v>164</v>
      </c>
      <c r="B1" s="83" t="s">
        <v>165</v>
      </c>
      <c r="C1" s="1" t="s">
        <v>166</v>
      </c>
      <c r="D1" s="1" t="s">
        <v>167</v>
      </c>
      <c r="E1" s="15" t="s">
        <v>21</v>
      </c>
      <c r="F1" s="15" t="s">
        <v>21</v>
      </c>
      <c r="G1" s="15" t="s">
        <v>21</v>
      </c>
      <c r="H1" s="15" t="s">
        <v>21</v>
      </c>
      <c r="I1" s="15" t="s">
        <v>21</v>
      </c>
      <c r="J1" s="15" t="s">
        <v>21</v>
      </c>
    </row>
    <row r="2" spans="1:10" ht="17.25">
      <c r="A2" s="1"/>
      <c r="B2" s="1" t="s">
        <v>12</v>
      </c>
      <c r="C2" s="1"/>
      <c r="D2" s="1"/>
      <c r="E2" s="84" t="s">
        <v>168</v>
      </c>
      <c r="F2" s="84" t="s">
        <v>169</v>
      </c>
      <c r="G2" s="84" t="s">
        <v>170</v>
      </c>
      <c r="H2" s="84" t="s">
        <v>171</v>
      </c>
      <c r="I2" s="84" t="s">
        <v>172</v>
      </c>
      <c r="J2" s="84" t="s">
        <v>173</v>
      </c>
    </row>
    <row r="4" spans="1:12" ht="18">
      <c r="A4">
        <v>0.1</v>
      </c>
      <c r="B4" s="30">
        <f aca="true" t="shared" si="0" ref="B4:B44">2*PI()/$A4</f>
        <v>62.83185307179586</v>
      </c>
      <c r="C4" s="30">
        <f aca="true" t="shared" si="1" ref="C4:C44">1-$B4*$B4*$L$4*$L$4</f>
        <v>-99</v>
      </c>
      <c r="D4" s="30">
        <f aca="true" t="shared" si="2" ref="D4:D44">2*$B4*$L$5*$L$4</f>
        <v>2</v>
      </c>
      <c r="E4" s="30">
        <f>1/(IMABS(COMPLEX(1-$B4*$B4*$L$4*$L$4,2*$B4*$L$5*$L$4,"j")))</f>
        <v>0.010098949511412771</v>
      </c>
      <c r="F4" s="30">
        <f>1/(IMABS(COMPLEX(1-$B4*$B4*$L$4*$L$4,2*$B4*$L$6*$L$4,"j")))</f>
        <v>0.010088152067206401</v>
      </c>
      <c r="G4" s="30">
        <f>1/(IMABS(COMPLEX(1-$B4*$B4*$L$4*$L$4,2*$B4*$L$7*$L$4,"j")))</f>
        <v>0.010049870596186849</v>
      </c>
      <c r="H4" s="30">
        <f>1/(IMABS(COMPLEX(1-$B4*$B4*$L$4*$L$4,2*$B4*$L$8*$L$4,"j")))</f>
        <v>0.009999530233104213</v>
      </c>
      <c r="I4" s="30">
        <f>1/(IMABS(COMPLEX(1-$B4*$B4*$L$4*$L$4,2*$B4*$L$9*$L$4,"j")))</f>
        <v>0.00997162126164355</v>
      </c>
      <c r="J4" s="30">
        <f>1/(IMABS(COMPLEX(1-$B4*$B4*$L$4*$L$4,2*$B4*$L$10*$L$4,"j")))</f>
        <v>0.009900990099009903</v>
      </c>
      <c r="K4" s="85" t="s">
        <v>174</v>
      </c>
      <c r="L4">
        <f>1/(2*PI())</f>
        <v>0.15915494309189535</v>
      </c>
    </row>
    <row r="5" spans="1:12" ht="12.75" customHeight="1">
      <c r="A5">
        <v>0.2</v>
      </c>
      <c r="B5" s="30">
        <f t="shared" si="0"/>
        <v>31.41592653589793</v>
      </c>
      <c r="C5" s="30">
        <f t="shared" si="1"/>
        <v>-24</v>
      </c>
      <c r="D5" s="30">
        <f t="shared" si="2"/>
        <v>1</v>
      </c>
      <c r="E5" s="30">
        <f>1/(IMABS(COMPLEX(1-$B5*$B5*$L$4*$L$4,2*$B5*$L$5*$L$4,"j")))</f>
        <v>0.04163054471218133</v>
      </c>
      <c r="F5" s="30">
        <f>1/(IMABS(COMPLEX(1-$B5*$B5*$L$4*$L$4,2*$B5*$L$6*$L$4,"j")))</f>
        <v>0.041442433703782415</v>
      </c>
      <c r="G5" s="30">
        <f>1/(IMABS(COMPLEX(1-$B5*$B5*$L$4*$L$4,2*$B5*$L$7*$L$4,"j")))</f>
        <v>0.04079085082240021</v>
      </c>
      <c r="H5" s="30">
        <f>1/(IMABS(COMPLEX(1-$B5*$B5*$L$4*$L$4,2*$B5*$L$8*$L$4,"j")))</f>
        <v>0.03996852040022745</v>
      </c>
      <c r="I5" s="30">
        <f>1/(IMABS(COMPLEX(1-$B5*$B5*$L$4*$L$4,2*$B5*$L$9*$L$4,"j")))</f>
        <v>0.03952847075210474</v>
      </c>
      <c r="J5" s="30">
        <f>1/(IMABS(COMPLEX(1-$B5*$B5*$L$4*$L$4,2*$B5*$L$10*$L$4,"j")))</f>
        <v>0.038461538461538464</v>
      </c>
      <c r="K5" s="85" t="s">
        <v>175</v>
      </c>
      <c r="L5">
        <v>0.1</v>
      </c>
    </row>
    <row r="6" spans="1:12" ht="17.25">
      <c r="A6">
        <v>0.3</v>
      </c>
      <c r="B6" s="30">
        <f t="shared" si="0"/>
        <v>20.943951023931955</v>
      </c>
      <c r="C6" s="30">
        <f t="shared" si="1"/>
        <v>-10.111111111111114</v>
      </c>
      <c r="D6" s="30">
        <f t="shared" si="2"/>
        <v>0.6666666666666667</v>
      </c>
      <c r="E6" s="30">
        <f>1/(IMABS(COMPLEX(1-$B6*$B6*$L$4*$L$4,2*$B6*$L$5*$L$4,"j")))</f>
        <v>0.09868682087129386</v>
      </c>
      <c r="F6" s="30">
        <f>1/(IMABS(COMPLEX(1-$B6*$B6*$L$4*$L$4,2*$B6*$L$6*$L$4,"j")))</f>
        <v>0.09758427058689827</v>
      </c>
      <c r="G6" s="30">
        <f>1/(IMABS(COMPLEX(1-$B6*$B6*$L$4*$L$4,2*$B6*$L$7*$L$4,"j")))</f>
        <v>0.09392852786919725</v>
      </c>
      <c r="H6" s="30">
        <f>1/(IMABS(COMPLEX(1-$B6*$B6*$L$4*$L$4,2*$B6*$L$8*$L$4,"j")))</f>
        <v>0.08964011637041575</v>
      </c>
      <c r="I6" s="30">
        <f>1/(IMABS(COMPLEX(1-$B6*$B6*$L$4*$L$4,2*$B6*$L$9*$L$4,"j")))</f>
        <v>0.08747764408381398</v>
      </c>
      <c r="J6" s="30">
        <f>1/(IMABS(COMPLEX(1-$B6*$B6*$L$4*$L$4,2*$B6*$L$10*$L$4,"j")))</f>
        <v>0.08256880733944959</v>
      </c>
      <c r="K6" s="85" t="s">
        <v>175</v>
      </c>
      <c r="L6">
        <v>0.25</v>
      </c>
    </row>
    <row r="7" spans="1:12" ht="17.25">
      <c r="A7">
        <v>0.4</v>
      </c>
      <c r="B7" s="30">
        <f t="shared" si="0"/>
        <v>15.707963267948966</v>
      </c>
      <c r="C7" s="30">
        <f t="shared" si="1"/>
        <v>-5.25</v>
      </c>
      <c r="D7" s="30">
        <f t="shared" si="2"/>
        <v>0.5</v>
      </c>
      <c r="E7" s="30">
        <f>1/(IMABS(COMPLEX(1-$B7*$B7*$L$4*$L$4,2*$B7*$L$5*$L$4,"j")))</f>
        <v>0.18961818525599092</v>
      </c>
      <c r="F7" s="30">
        <f>1/(IMABS(COMPLEX(1-$B7*$B7*$L$4*$L$4,2*$B7*$L$6*$L$4,"j")))</f>
        <v>0.1852964218448318</v>
      </c>
      <c r="G7" s="30">
        <f>1/(IMABS(COMPLEX(1-$B7*$B7*$L$4*$L$4,2*$B7*$L$7*$L$4,"j")))</f>
        <v>0.1719734321569391</v>
      </c>
      <c r="H7" s="30">
        <f>1/(IMABS(COMPLEX(1-$B7*$B7*$L$4*$L$4,2*$B7*$L$8*$L$4,"j")))</f>
        <v>0.15799794517898572</v>
      </c>
      <c r="I7" s="30">
        <f>1/(IMABS(COMPLEX(1-$B7*$B7*$L$4*$L$4,2*$B7*$L$9*$L$4,"j")))</f>
        <v>0.15151080381571402</v>
      </c>
      <c r="J7" s="30">
        <f>1/(IMABS(COMPLEX(1-$B7*$B7*$L$4*$L$4,2*$B7*$L$10*$L$4,"j")))</f>
        <v>0.13793103448275862</v>
      </c>
      <c r="K7" s="85" t="s">
        <v>175</v>
      </c>
      <c r="L7">
        <v>0.5</v>
      </c>
    </row>
    <row r="8" spans="1:12" ht="17.25">
      <c r="A8">
        <v>0.5</v>
      </c>
      <c r="B8" s="30">
        <f t="shared" si="0"/>
        <v>12.566370614359172</v>
      </c>
      <c r="C8" s="30">
        <f t="shared" si="1"/>
        <v>-3</v>
      </c>
      <c r="D8" s="30">
        <f t="shared" si="2"/>
        <v>0.4</v>
      </c>
      <c r="E8" s="30">
        <f>1/(IMABS(COMPLEX(1-$B8*$B8*$L$4*$L$4,2*$B8*$L$5*$L$4,"j")))</f>
        <v>0.3304093002275449</v>
      </c>
      <c r="F8" s="30">
        <f>1/(IMABS(COMPLEX(1-$B8*$B8*$L$4*$L$4,2*$B8*$L$6*$L$4,"j")))</f>
        <v>0.31622776601683794</v>
      </c>
      <c r="G8" s="30">
        <f>1/(IMABS(COMPLEX(1-$B8*$B8*$L$4*$L$4,2*$B8*$L$7*$L$4,"j")))</f>
        <v>0.2773500981126145</v>
      </c>
      <c r="H8" s="30">
        <f>1/(IMABS(COMPLEX(1-$B8*$B8*$L$4*$L$4,2*$B8*$L$8*$L$4,"j")))</f>
        <v>0.24255286116970282</v>
      </c>
      <c r="I8" s="30">
        <f>1/(IMABS(COMPLEX(1-$B8*$B8*$L$4*$L$4,2*$B8*$L$9*$L$4,"j")))</f>
        <v>0.22798037629377657</v>
      </c>
      <c r="J8" s="30">
        <f>1/(IMABS(COMPLEX(1-$B8*$B8*$L$4*$L$4,2*$B8*$L$10*$L$4,"j")))</f>
        <v>0.2</v>
      </c>
      <c r="K8" s="85" t="s">
        <v>175</v>
      </c>
      <c r="L8">
        <v>0.707</v>
      </c>
    </row>
    <row r="9" spans="1:12" ht="17.25">
      <c r="A9">
        <v>0.6</v>
      </c>
      <c r="B9" s="30">
        <f t="shared" si="0"/>
        <v>10.471975511965978</v>
      </c>
      <c r="C9" s="30">
        <f t="shared" si="1"/>
        <v>-1.7777777777777786</v>
      </c>
      <c r="D9" s="30">
        <f t="shared" si="2"/>
        <v>0.33333333333333337</v>
      </c>
      <c r="E9" s="30">
        <f>1/(IMABS(COMPLEX(1-$B9*$B9*$L$4*$L$4,2*$B9*$L$5*$L$4,"j")))</f>
        <v>0.5528656051505555</v>
      </c>
      <c r="F9" s="30">
        <f>1/(IMABS(COMPLEX(1-$B9*$B9*$L$4*$L$4,2*$B9*$L$6*$L$4,"j")))</f>
        <v>0.509320651476863</v>
      </c>
      <c r="G9" s="30">
        <f>1/(IMABS(COMPLEX(1-$B9*$B9*$L$4*$L$4,2*$B9*$L$7*$L$4,"j")))</f>
        <v>0.4103646773287972</v>
      </c>
      <c r="H9" s="30">
        <f>1/(IMABS(COMPLEX(1-$B9*$B9*$L$4*$L$4,2*$B9*$L$8*$L$4,"j")))</f>
        <v>0.33875207352941716</v>
      </c>
      <c r="I9" s="30">
        <f>1/(IMABS(COMPLEX(1-$B9*$B9*$L$4*$L$4,2*$B9*$L$9*$L$4,"j")))</f>
        <v>0.31201886037669097</v>
      </c>
      <c r="J9" s="30">
        <f>1/(IMABS(COMPLEX(1-$B9*$B9*$L$4*$L$4,2*$B9*$L$10*$L$4,"j")))</f>
        <v>0.2647058823529413</v>
      </c>
      <c r="K9" s="85" t="s">
        <v>175</v>
      </c>
      <c r="L9">
        <v>0.8</v>
      </c>
    </row>
    <row r="10" spans="1:12" ht="17.25">
      <c r="A10">
        <v>0.7</v>
      </c>
      <c r="B10" s="30">
        <f t="shared" si="0"/>
        <v>8.975979010256552</v>
      </c>
      <c r="C10" s="30">
        <f t="shared" si="1"/>
        <v>-1.0408163265306123</v>
      </c>
      <c r="D10" s="30">
        <f t="shared" si="2"/>
        <v>0.2857142857142857</v>
      </c>
      <c r="E10" s="30">
        <f>1/(IMABS(COMPLEX(1-$B10*$B10*$L$4*$L$4,2*$B10*$L$5*$L$4,"j")))</f>
        <v>0.9265094362340957</v>
      </c>
      <c r="F10" s="30">
        <f>1/(IMABS(COMPLEX(1-$B10*$B10*$L$4*$L$4,2*$B10*$L$6*$L$4,"j")))</f>
        <v>0.7921794956773809</v>
      </c>
      <c r="G10" s="30">
        <f>1/(IMABS(COMPLEX(1-$B10*$B10*$L$4*$L$4,2*$B10*$L$7*$L$4,"j")))</f>
        <v>0.5657655473598491</v>
      </c>
      <c r="H10" s="30">
        <f>1/(IMABS(COMPLEX(1-$B10*$B10*$L$4*$L$4,2*$B10*$L$8*$L$4,"j")))</f>
        <v>0.44006776379070617</v>
      </c>
      <c r="I10" s="30">
        <f>1/(IMABS(COMPLEX(1-$B10*$B10*$L$4*$L$4,2*$B10*$L$9*$L$4,"j")))</f>
        <v>0.3981634961833739</v>
      </c>
      <c r="J10" s="30">
        <f>1/(IMABS(COMPLEX(1-$B10*$B10*$L$4*$L$4,2*$B10*$L$10*$L$4,"j")))</f>
        <v>0.32885906040268437</v>
      </c>
      <c r="K10" s="85" t="s">
        <v>175</v>
      </c>
      <c r="L10">
        <v>1</v>
      </c>
    </row>
    <row r="11" spans="1:10" ht="12.75">
      <c r="A11">
        <v>0.8</v>
      </c>
      <c r="B11" s="30">
        <f t="shared" si="0"/>
        <v>7.853981633974483</v>
      </c>
      <c r="C11" s="30">
        <f t="shared" si="1"/>
        <v>-0.5625</v>
      </c>
      <c r="D11" s="30">
        <f t="shared" si="2"/>
        <v>0.25</v>
      </c>
      <c r="E11" s="30">
        <f>1/(IMABS(COMPLEX(1-$B11*$B11*$L$4*$L$4,2*$B11*$L$5*$L$4,"j")))</f>
        <v>1.6245538642137907</v>
      </c>
      <c r="F11" s="30">
        <f>1/(IMABS(COMPLEX(1-$B11*$B11*$L$4*$L$4,2*$B11*$L$6*$L$4,"j")))</f>
        <v>1.189270633995466</v>
      </c>
      <c r="G11" s="30">
        <f>1/(IMABS(COMPLEX(1-$B11*$B11*$L$4*$L$4,2*$B11*$L$7*$L$4,"j")))</f>
        <v>0.7295372041400852</v>
      </c>
      <c r="H11" s="30">
        <f>1/(IMABS(COMPLEX(1-$B11*$B11*$L$4*$L$4,2*$B11*$L$8*$L$4,"j")))</f>
        <v>0.5391276250075824</v>
      </c>
      <c r="I11" s="30">
        <f>1/(IMABS(COMPLEX(1-$B11*$B11*$L$4*$L$4,2*$B11*$L$9*$L$4,"j")))</f>
        <v>0.4813254700769495</v>
      </c>
      <c r="J11" s="30">
        <f>1/(IMABS(COMPLEX(1-$B11*$B11*$L$4*$L$4,2*$B11*$L$10*$L$4,"j")))</f>
        <v>0.3902439024390244</v>
      </c>
    </row>
    <row r="12" spans="1:10" ht="12.75">
      <c r="A12">
        <v>0.85</v>
      </c>
      <c r="B12" s="30">
        <f t="shared" si="0"/>
        <v>7.391982714328925</v>
      </c>
      <c r="C12" s="30">
        <f t="shared" si="1"/>
        <v>-0.3840830449826993</v>
      </c>
      <c r="D12" s="30">
        <f t="shared" si="2"/>
        <v>0.23529411764705888</v>
      </c>
      <c r="E12" s="30">
        <f>1/(IMABS(COMPLEX(1-$B12*$B12*$L$4*$L$4,2*$B12*$L$5*$L$4,"j")))</f>
        <v>2.220123102874031</v>
      </c>
      <c r="F12" s="30">
        <f>1/(IMABS(COMPLEX(1-$B12*$B12*$L$4*$L$4,2*$B12*$L$6*$L$4,"j")))</f>
        <v>1.423438083747764</v>
      </c>
      <c r="G12" s="30">
        <f>1/(IMABS(COMPLEX(1-$B12*$B12*$L$4*$L$4,2*$B12*$L$7*$L$4,"j")))</f>
        <v>0.8080289480412036</v>
      </c>
      <c r="H12" s="30">
        <f>1/(IMABS(COMPLEX(1-$B12*$B12*$L$4*$L$4,2*$B12*$L$8*$L$4,"j")))</f>
        <v>0.5857224940253747</v>
      </c>
      <c r="I12" s="30">
        <f>1/(IMABS(COMPLEX(1-$B12*$B12*$L$4*$L$4,2*$B12*$L$9*$L$4,"j")))</f>
        <v>0.5205247317468981</v>
      </c>
      <c r="J12" s="30">
        <f>1/(IMABS(COMPLEX(1-$B12*$B12*$L$4*$L$4,2*$B12*$L$10*$L$4,"j")))</f>
        <v>0.41944847605224933</v>
      </c>
    </row>
    <row r="13" spans="1:10" ht="12.75">
      <c r="A13">
        <v>0.87</v>
      </c>
      <c r="B13" s="30">
        <f t="shared" si="0"/>
        <v>7.222052077217915</v>
      </c>
      <c r="C13" s="30">
        <f t="shared" si="1"/>
        <v>-0.3211784912141633</v>
      </c>
      <c r="D13" s="30">
        <f t="shared" si="2"/>
        <v>0.22988505747126436</v>
      </c>
      <c r="E13" s="30">
        <f>1/(IMABS(COMPLEX(1-$B13*$B13*$L$4*$L$4,2*$B13*$L$5*$L$4,"j")))</f>
        <v>2.53182599761954</v>
      </c>
      <c r="F13" s="30">
        <f>1/(IMABS(COMPLEX(1-$B13*$B13*$L$4*$L$4,2*$B13*$L$6*$L$4,"j")))</f>
        <v>1.5189041654016608</v>
      </c>
      <c r="G13" s="30">
        <f>1/(IMABS(COMPLEX(1-$B13*$B13*$L$4*$L$4,2*$B13*$L$7*$L$4,"j")))</f>
        <v>0.8379036106595015</v>
      </c>
      <c r="H13" s="30">
        <f>1/(IMABS(COMPLEX(1-$B13*$B13*$L$4*$L$4,2*$B13*$L$8*$L$4,"j")))</f>
        <v>0.603603018138847</v>
      </c>
      <c r="I13" s="30">
        <f>1/(IMABS(COMPLEX(1-$B13*$B13*$L$4*$L$4,2*$B13*$L$9*$L$4,"j")))</f>
        <v>0.5356429535615398</v>
      </c>
      <c r="J13" s="30">
        <f>1/(IMABS(COMPLEX(1-$B13*$B13*$L$4*$L$4,2*$B13*$L$10*$L$4,"j")))</f>
        <v>0.4308156411861809</v>
      </c>
    </row>
    <row r="14" spans="1:10" ht="12.75">
      <c r="A14">
        <v>0.9</v>
      </c>
      <c r="B14" s="30">
        <f t="shared" si="0"/>
        <v>6.981317007977318</v>
      </c>
      <c r="C14" s="30">
        <f t="shared" si="1"/>
        <v>-0.23456790123456805</v>
      </c>
      <c r="D14" s="30">
        <f t="shared" si="2"/>
        <v>0.22222222222222227</v>
      </c>
      <c r="E14" s="30">
        <f>1/(IMABS(COMPLEX(1-$B14*$B14*$L$4*$L$4,2*$B14*$L$5*$L$4,"j")))</f>
        <v>3.094850915598525</v>
      </c>
      <c r="F14" s="30">
        <f>1/(IMABS(COMPLEX(1-$B14*$B14*$L$4*$L$4,2*$B14*$L$6*$L$4,"j")))</f>
        <v>1.6582492105404931</v>
      </c>
      <c r="G14" s="30">
        <f>1/(IMABS(COMPLEX(1-$B14*$B14*$L$4*$L$4,2*$B14*$L$7*$L$4,"j")))</f>
        <v>0.880590855783192</v>
      </c>
      <c r="H14" s="30">
        <f>1/(IMABS(COMPLEX(1-$B14*$B14*$L$4*$L$4,2*$B14*$L$8*$L$4,"j")))</f>
        <v>0.6295147330969377</v>
      </c>
      <c r="I14" s="30">
        <f>1/(IMABS(COMPLEX(1-$B14*$B14*$L$4*$L$4,2*$B14*$L$9*$L$4,"j")))</f>
        <v>0.5576666425227391</v>
      </c>
      <c r="J14" s="30">
        <f>1/(IMABS(COMPLEX(1-$B14*$B14*$L$4*$L$4,2*$B14*$L$10*$L$4,"j")))</f>
        <v>0.44751381215469654</v>
      </c>
    </row>
    <row r="15" spans="1:10" ht="12.75">
      <c r="A15">
        <v>0.91</v>
      </c>
      <c r="B15" s="30">
        <f t="shared" si="0"/>
        <v>6.904599238658886</v>
      </c>
      <c r="C15" s="30">
        <f t="shared" si="1"/>
        <v>-0.20758362516604278</v>
      </c>
      <c r="D15" s="30">
        <f t="shared" si="2"/>
        <v>0.2197802197802198</v>
      </c>
      <c r="E15" s="30">
        <f>1/(IMABS(COMPLEX(1-$B15*$B15*$L$4*$L$4,2*$B15*$L$5*$L$4,"j")))</f>
        <v>3.30780903612395</v>
      </c>
      <c r="F15" s="30">
        <f>1/(IMABS(COMPLEX(1-$B15*$B15*$L$4*$L$4,2*$B15*$L$6*$L$4,"j")))</f>
        <v>1.7025454651434546</v>
      </c>
      <c r="G15" s="30">
        <f>1/(IMABS(COMPLEX(1-$B15*$B15*$L$4*$L$4,2*$B15*$L$7*$L$4,"j")))</f>
        <v>0.8941859412016483</v>
      </c>
      <c r="H15" s="30">
        <f>1/(IMABS(COMPLEX(1-$B15*$B15*$L$4*$L$4,2*$B15*$L$8*$L$4,"j")))</f>
        <v>0.6378971902324844</v>
      </c>
      <c r="I15" s="30">
        <f>1/(IMABS(COMPLEX(1-$B15*$B15*$L$4*$L$4,2*$B15*$L$9*$L$4,"j")))</f>
        <v>0.5648270843257491</v>
      </c>
      <c r="J15" s="30">
        <f>1/(IMABS(COMPLEX(1-$B15*$B15*$L$4*$L$4,2*$B15*$L$10*$L$4,"j")))</f>
        <v>0.4529839724303917</v>
      </c>
    </row>
    <row r="16" spans="1:10" ht="12.75">
      <c r="A16">
        <v>0.92</v>
      </c>
      <c r="B16" s="30">
        <f t="shared" si="0"/>
        <v>6.829549246934333</v>
      </c>
      <c r="C16" s="30">
        <f t="shared" si="1"/>
        <v>-0.1814744801512287</v>
      </c>
      <c r="D16" s="30">
        <f t="shared" si="2"/>
        <v>0.2173913043478261</v>
      </c>
      <c r="E16" s="30">
        <f>1/(IMABS(COMPLEX(1-$B16*$B16*$L$4*$L$4,2*$B16*$L$5*$L$4,"j")))</f>
        <v>3.531299632010673</v>
      </c>
      <c r="F16" s="30">
        <f>1/(IMABS(COMPLEX(1-$B16*$B16*$L$4*$L$4,2*$B16*$L$6*$L$4,"j")))</f>
        <v>1.7452735050853436</v>
      </c>
      <c r="G16" s="30">
        <f>1/(IMABS(COMPLEX(1-$B16*$B16*$L$4*$L$4,2*$B16*$L$7*$L$4,"j")))</f>
        <v>0.9074397209743877</v>
      </c>
      <c r="H16" s="30">
        <f>1/(IMABS(COMPLEX(1-$B16*$B16*$L$4*$L$4,2*$B16*$L$8*$L$4,"j")))</f>
        <v>0.6461479623440738</v>
      </c>
      <c r="I16" s="30">
        <f>1/(IMABS(COMPLEX(1-$B16*$B16*$L$4*$L$4,2*$B16*$L$9*$L$4,"j")))</f>
        <v>0.5718948996742915</v>
      </c>
      <c r="J16" s="30">
        <f>1/(IMABS(COMPLEX(1-$B16*$B16*$L$4*$L$4,2*$B16*$L$10*$L$4,"j")))</f>
        <v>0.4584055459272099</v>
      </c>
    </row>
    <row r="17" spans="1:10" ht="12.75">
      <c r="A17">
        <v>0.93</v>
      </c>
      <c r="B17" s="30">
        <f t="shared" si="0"/>
        <v>6.7561132335264364</v>
      </c>
      <c r="C17" s="30">
        <f t="shared" si="1"/>
        <v>-0.15620302925193652</v>
      </c>
      <c r="D17" s="30">
        <f t="shared" si="2"/>
        <v>0.21505376344086025</v>
      </c>
      <c r="E17" s="30">
        <f>1/(IMABS(COMPLEX(1-$B17*$B17*$L$4*$L$4,2*$B17*$L$5*$L$4,"j")))</f>
        <v>3.7622840191765436</v>
      </c>
      <c r="F17" s="30">
        <f>1/(IMABS(COMPLEX(1-$B17*$B17*$L$4*$L$4,2*$B17*$L$6*$L$4,"j")))</f>
        <v>1.7861410978170935</v>
      </c>
      <c r="G17" s="30">
        <f>1/(IMABS(COMPLEX(1-$B17*$B17*$L$4*$L$4,2*$B17*$L$7*$L$4,"j")))</f>
        <v>0.9203397211775172</v>
      </c>
      <c r="H17" s="30">
        <f>1/(IMABS(COMPLEX(1-$B17*$B17*$L$4*$L$4,2*$B17*$L$8*$L$4,"j")))</f>
        <v>0.6542649054199656</v>
      </c>
      <c r="I17" s="30">
        <f>1/(IMABS(COMPLEX(1-$B17*$B17*$L$4*$L$4,2*$B17*$L$9*$L$4,"j")))</f>
        <v>0.5788689810067448</v>
      </c>
      <c r="J17" s="30">
        <f>1/(IMABS(COMPLEX(1-$B17*$B17*$L$4*$L$4,2*$B17*$L$10*$L$4,"j")))</f>
        <v>0.4637782186712429</v>
      </c>
    </row>
    <row r="18" spans="1:10" ht="12.75">
      <c r="A18">
        <v>0.94</v>
      </c>
      <c r="B18" s="30">
        <f t="shared" si="0"/>
        <v>6.684239688488922</v>
      </c>
      <c r="C18" s="30">
        <f t="shared" si="1"/>
        <v>-0.13173381620642854</v>
      </c>
      <c r="D18" s="30">
        <f t="shared" si="2"/>
        <v>0.21276595744680854</v>
      </c>
      <c r="E18" s="30">
        <f>1/(IMABS(COMPLEX(1-$B18*$B18*$L$4*$L$4,2*$B18*$L$5*$L$4,"j")))</f>
        <v>3.9960649828825425</v>
      </c>
      <c r="F18" s="30">
        <f>1/(IMABS(COMPLEX(1-$B18*$B18*$L$4*$L$4,2*$B18*$L$6*$L$4,"j")))</f>
        <v>1.8248684043861503</v>
      </c>
      <c r="G18" s="30">
        <f>1/(IMABS(COMPLEX(1-$B18*$B18*$L$4*$L$4,2*$B18*$L$7*$L$4,"j")))</f>
        <v>0.9328749432062912</v>
      </c>
      <c r="H18" s="30">
        <f>1/(IMABS(COMPLEX(1-$B18*$B18*$L$4*$L$4,2*$B18*$L$8*$L$4,"j")))</f>
        <v>0.6622461569960446</v>
      </c>
      <c r="I18" s="30">
        <f>1/(IMABS(COMPLEX(1-$B18*$B18*$L$4*$L$4,2*$B18*$L$9*$L$4,"j")))</f>
        <v>0.5857483694725646</v>
      </c>
      <c r="J18" s="30">
        <f>1/(IMABS(COMPLEX(1-$B18*$B18*$L$4*$L$4,2*$B18*$L$10*$L$4,"j")))</f>
        <v>0.4691017201104257</v>
      </c>
    </row>
    <row r="19" spans="1:10" ht="12.75">
      <c r="A19">
        <v>0.95</v>
      </c>
      <c r="B19" s="30">
        <f t="shared" si="0"/>
        <v>6.613879270715354</v>
      </c>
      <c r="C19" s="30">
        <f t="shared" si="1"/>
        <v>-0.10803324099723</v>
      </c>
      <c r="D19" s="30">
        <f t="shared" si="2"/>
        <v>0.21052631578947373</v>
      </c>
      <c r="E19" s="30">
        <f>1/(IMABS(COMPLEX(1-$B19*$B19*$L$4*$L$4,2*$B19*$L$5*$L$4,"j")))</f>
        <v>4.2260538702480686</v>
      </c>
      <c r="F19" s="30">
        <f>1/(IMABS(COMPLEX(1-$B19*$B19*$L$4*$L$4,2*$B19*$L$6*$L$4,"j")))</f>
        <v>1.8611956732564374</v>
      </c>
      <c r="G19" s="30">
        <f>1/(IMABS(COMPLEX(1-$B19*$B19*$L$4*$L$4,2*$B19*$L$7*$L$4,"j")))</f>
        <v>0.9450358923900402</v>
      </c>
      <c r="H19" s="30">
        <f>1/(IMABS(COMPLEX(1-$B19*$B19*$L$4*$L$4,2*$B19*$L$8*$L$4,"j")))</f>
        <v>0.6700901299230457</v>
      </c>
      <c r="I19" s="30">
        <f>1/(IMABS(COMPLEX(1-$B19*$B19*$L$4*$L$4,2*$B19*$L$9*$L$4,"j")))</f>
        <v>0.5925322503613228</v>
      </c>
      <c r="J19" s="30">
        <f>1/(IMABS(COMPLEX(1-$B19*$B19*$L$4*$L$4,2*$B19*$L$10*$L$4,"j")))</f>
        <v>0.4743758212877786</v>
      </c>
    </row>
    <row r="20" spans="1:10" ht="12.75">
      <c r="A20">
        <v>0.96</v>
      </c>
      <c r="B20" s="30">
        <f t="shared" si="0"/>
        <v>6.544984694978736</v>
      </c>
      <c r="C20" s="30">
        <f t="shared" si="1"/>
        <v>-0.08506944444444464</v>
      </c>
      <c r="D20" s="30">
        <f t="shared" si="2"/>
        <v>0.2083333333333334</v>
      </c>
      <c r="E20" s="30">
        <f>1/(IMABS(COMPLEX(1-$B20*$B20*$L$4*$L$4,2*$B20*$L$5*$L$4,"j")))</f>
        <v>4.44380422479817</v>
      </c>
      <c r="F20" s="30">
        <f>1/(IMABS(COMPLEX(1-$B20*$B20*$L$4*$L$4,2*$B20*$L$6*$L$4,"j")))</f>
        <v>1.894890627774715</v>
      </c>
      <c r="G20" s="30">
        <f>1/(IMABS(COMPLEX(1-$B20*$B20*$L$4*$L$4,2*$B20*$L$7*$L$4,"j")))</f>
        <v>0.956814591519013</v>
      </c>
      <c r="H20" s="30">
        <f>1/(IMABS(COMPLEX(1-$B20*$B20*$L$4*$L$4,2*$B20*$L$8*$L$4,"j")))</f>
        <v>0.6777955052591345</v>
      </c>
      <c r="I20" s="30">
        <f>1/(IMABS(COMPLEX(1-$B20*$B20*$L$4*$L$4,2*$B20*$L$9*$L$4,"j")))</f>
        <v>0.5992199483219326</v>
      </c>
      <c r="J20" s="30">
        <f>1/(IMABS(COMPLEX(1-$B20*$B20*$L$4*$L$4,2*$B20*$L$10*$L$4,"j")))</f>
        <v>0.4796003330557877</v>
      </c>
    </row>
    <row r="21" spans="1:10" ht="12.75">
      <c r="A21">
        <v>0.97</v>
      </c>
      <c r="B21" s="30">
        <f t="shared" si="0"/>
        <v>6.477510625958336</v>
      </c>
      <c r="C21" s="30">
        <f t="shared" si="1"/>
        <v>-0.0628122010840686</v>
      </c>
      <c r="D21" s="30">
        <f t="shared" si="2"/>
        <v>0.2061855670103093</v>
      </c>
      <c r="E21" s="30">
        <f>1/(IMABS(COMPLEX(1-$B21*$B21*$L$4*$L$4,2*$B21*$L$5*$L$4,"j")))</f>
        <v>4.639491640208239</v>
      </c>
      <c r="F21" s="30">
        <f>1/(IMABS(COMPLEX(1-$B21*$B21*$L$4*$L$4,2*$B21*$L$6*$L$4,"j")))</f>
        <v>1.9257551046844625</v>
      </c>
      <c r="G21" s="30">
        <f>1/(IMABS(COMPLEX(1-$B21*$B21*$L$4*$L$4,2*$B21*$L$7*$L$4,"j")))</f>
        <v>0.9682045796517544</v>
      </c>
      <c r="H21" s="30">
        <f>1/(IMABS(COMPLEX(1-$B21*$B21*$L$4*$L$4,2*$B21*$L$8*$L$4,"j")))</f>
        <v>0.6853612243781707</v>
      </c>
      <c r="I21" s="30">
        <f>1/(IMABS(COMPLEX(1-$B21*$B21*$L$4*$L$4,2*$B21*$L$9*$L$4,"j")))</f>
        <v>0.6058109224050874</v>
      </c>
      <c r="J21" s="30">
        <f>1/(IMABS(COMPLEX(1-$B21*$B21*$L$4*$L$4,2*$B21*$L$10*$L$4,"j")))</f>
        <v>0.48477510433304205</v>
      </c>
    </row>
    <row r="22" spans="1:10" ht="12.75">
      <c r="A22">
        <v>0.98</v>
      </c>
      <c r="B22" s="30">
        <f t="shared" si="0"/>
        <v>6.41141357875468</v>
      </c>
      <c r="C22" s="30">
        <f t="shared" si="1"/>
        <v>-0.04123281965847592</v>
      </c>
      <c r="D22" s="30">
        <f t="shared" si="2"/>
        <v>0.20408163265306126</v>
      </c>
      <c r="E22" s="30">
        <f>1/(IMABS(COMPLEX(1-$B22*$B22*$L$4*$L$4,2*$B22*$L$5*$L$4,"j")))</f>
        <v>4.802951078479636</v>
      </c>
      <c r="F22" s="30">
        <f>1/(IMABS(COMPLEX(1-$B22*$B22*$L$4*$L$4,2*$B22*$L$6*$L$4,"j")))</f>
        <v>1.95363053059693</v>
      </c>
      <c r="G22" s="30">
        <f>1/(IMABS(COMPLEX(1-$B22*$B22*$L$4*$L$4,2*$B22*$L$7*$L$4,"j")))</f>
        <v>0.9792008968278229</v>
      </c>
      <c r="H22" s="30">
        <f>1/(IMABS(COMPLEX(1-$B22*$B22*$L$4*$L$4,2*$B22*$L$8*$L$4,"j")))</f>
        <v>0.6927864803848153</v>
      </c>
      <c r="I22" s="30">
        <f>1/(IMABS(COMPLEX(1-$B22*$B22*$L$4*$L$4,2*$B22*$L$9*$L$4,"j")))</f>
        <v>0.6123047609607397</v>
      </c>
      <c r="J22" s="30">
        <f>1/(IMABS(COMPLEX(1-$B22*$B22*$L$4*$L$4,2*$B22*$L$10*$L$4,"j")))</f>
        <v>0.4899000204039997</v>
      </c>
    </row>
    <row r="23" spans="1:10" ht="12.75">
      <c r="A23">
        <v>0.99</v>
      </c>
      <c r="B23" s="30">
        <f t="shared" si="0"/>
        <v>6.346651825433925</v>
      </c>
      <c r="C23" s="30">
        <f t="shared" si="1"/>
        <v>-0.02030405060708107</v>
      </c>
      <c r="D23" s="30">
        <f t="shared" si="2"/>
        <v>0.20202020202020202</v>
      </c>
      <c r="E23" s="30">
        <f>1/(IMABS(COMPLEX(1-$B23*$B23*$L$4*$L$4,2*$B23*$L$5*$L$4,"j")))</f>
        <v>4.925187191810738</v>
      </c>
      <c r="F23" s="30">
        <f>1/(IMABS(COMPLEX(1-$B23*$B23*$L$4*$L$4,2*$B23*$L$6*$L$4,"j")))</f>
        <v>1.9784018964793622</v>
      </c>
      <c r="G23" s="30">
        <f>1/(IMABS(COMPLEX(1-$B23*$B23*$L$4*$L$4,2*$B23*$L$7*$L$4,"j")))</f>
        <v>0.9898000555382163</v>
      </c>
      <c r="H23" s="30">
        <f>1/(IMABS(COMPLEX(1-$B23*$B23*$L$4*$L$4,2*$B23*$L$8*$L$4,"j")))</f>
        <v>0.7000707089276832</v>
      </c>
      <c r="I23" s="30">
        <f>1/(IMABS(COMPLEX(1-$B23*$B23*$L$4*$L$4,2*$B23*$L$9*$L$4,"j")))</f>
        <v>0.6187011764213411</v>
      </c>
      <c r="J23" s="30">
        <f>1/(IMABS(COMPLEX(1-$B23*$B23*$L$4*$L$4,2*$B23*$L$10*$L$4,"j")))</f>
        <v>0.49497500126256255</v>
      </c>
    </row>
    <row r="24" spans="1:10" ht="12.75">
      <c r="A24">
        <v>1</v>
      </c>
      <c r="B24" s="30">
        <f t="shared" si="0"/>
        <v>6.283185307179586</v>
      </c>
      <c r="C24" s="30">
        <f t="shared" si="1"/>
        <v>0</v>
      </c>
      <c r="D24" s="30">
        <f t="shared" si="2"/>
        <v>0.2</v>
      </c>
      <c r="E24" s="30">
        <f>1/(IMABS(COMPLEX(1-$B24*$B24*$L$4*$L$4,2*$B24*$L$5*$L$4,"j")))</f>
        <v>5</v>
      </c>
      <c r="F24" s="30">
        <f>1/(IMABS(COMPLEX(1-$B24*$B24*$L$4*$L$4,2*$B24*$L$6*$L$4,"j")))</f>
        <v>2</v>
      </c>
      <c r="G24" s="30">
        <f>1/(IMABS(COMPLEX(1-$B24*$B24*$L$4*$L$4,2*$B24*$L$7*$L$4,"j")))</f>
        <v>1</v>
      </c>
      <c r="H24" s="30">
        <f>1/(IMABS(COMPLEX(1-$B24*$B24*$L$4*$L$4,2*$B24*$L$8*$L$4,"j")))</f>
        <v>0.7072135785007072</v>
      </c>
      <c r="I24" s="30">
        <f>1/(IMABS(COMPLEX(1-$B24*$B24*$L$4*$L$4,2*$B24*$L$9*$L$4,"j")))</f>
        <v>0.625</v>
      </c>
      <c r="J24" s="30">
        <f>1/(IMABS(COMPLEX(1-$B24*$B24*$L$4*$L$4,2*$B24*$L$10*$L$4,"j")))</f>
        <v>0.5</v>
      </c>
    </row>
    <row r="25" spans="1:10" ht="12.75">
      <c r="A25">
        <v>1.01</v>
      </c>
      <c r="B25" s="30">
        <f t="shared" si="0"/>
        <v>6.220975551662956</v>
      </c>
      <c r="C25" s="30">
        <f t="shared" si="1"/>
        <v>0.019703950593079167</v>
      </c>
      <c r="D25" s="30">
        <f t="shared" si="2"/>
        <v>0.19801980198019803</v>
      </c>
      <c r="E25" s="30">
        <f>1/(IMABS(COMPLEX(1-$B25*$B25*$L$4*$L$4,2*$B25*$L$5*$L$4,"j")))</f>
        <v>5.025183515270448</v>
      </c>
      <c r="F25" s="30">
        <f>1/(IMABS(COMPLEX(1-$B25*$B25*$L$4*$L$4,2*$B25*$L$6*$L$4,"j")))</f>
        <v>2.0184018589739785</v>
      </c>
      <c r="G25" s="30">
        <f>1/(IMABS(COMPLEX(1-$B25*$B25*$L$4*$L$4,2*$B25*$L$7*$L$4,"j")))</f>
        <v>1.0098000544387862</v>
      </c>
      <c r="H25" s="30">
        <f>1/(IMABS(COMPLEX(1-$B25*$B25*$L$4*$L$4,2*$B25*$L$8*$L$4,"j")))</f>
        <v>0.7142149803208091</v>
      </c>
      <c r="I25" s="30">
        <f>1/(IMABS(COMPLEX(1-$B25*$B25*$L$4*$L$4,2*$B25*$L$9*$L$4,"j")))</f>
        <v>0.6312011763313269</v>
      </c>
      <c r="J25" s="30">
        <f>1/(IMABS(COMPLEX(1-$B25*$B25*$L$4*$L$4,2*$B25*$L$10*$L$4,"j")))</f>
        <v>0.5049750012375627</v>
      </c>
    </row>
    <row r="26" spans="1:10" ht="12.75">
      <c r="A26">
        <v>1.02</v>
      </c>
      <c r="B26" s="30">
        <f t="shared" si="0"/>
        <v>6.159985595274104</v>
      </c>
      <c r="C26" s="30">
        <f t="shared" si="1"/>
        <v>0.03883121876201456</v>
      </c>
      <c r="D26" s="30">
        <f t="shared" si="2"/>
        <v>0.19607843137254904</v>
      </c>
      <c r="E26" s="30">
        <f>1/(IMABS(COMPLEX(1-$B26*$B26*$L$4*$L$4,2*$B26*$L$5*$L$4,"j")))</f>
        <v>5.002838991128006</v>
      </c>
      <c r="F26" s="30">
        <f>1/(IMABS(COMPLEX(1-$B26*$B26*$L$4*$L$4,2*$B26*$L$6*$L$4,"j")))</f>
        <v>2.033629339437639</v>
      </c>
      <c r="G26" s="30">
        <f>1/(IMABS(COMPLEX(1-$B26*$B26*$L$4*$L$4,2*$B26*$L$7*$L$4,"j")))</f>
        <v>1.0192008617006807</v>
      </c>
      <c r="H26" s="30">
        <f>1/(IMABS(COMPLEX(1-$B26*$B26*$L$4*$L$4,2*$B26*$L$8*$L$4,"j")))</f>
        <v>0.7210750178674508</v>
      </c>
      <c r="I26" s="30">
        <f>1/(IMABS(COMPLEX(1-$B26*$B26*$L$4*$L$4,2*$B26*$L$9*$L$4,"j")))</f>
        <v>0.6373047580810786</v>
      </c>
      <c r="J26" s="30">
        <f>1/(IMABS(COMPLEX(1-$B26*$B26*$L$4*$L$4,2*$B26*$L$10*$L$4,"j")))</f>
        <v>0.5099000196039992</v>
      </c>
    </row>
    <row r="27" spans="1:10" ht="12.75">
      <c r="A27">
        <v>1.03</v>
      </c>
      <c r="B27" s="30">
        <f t="shared" si="0"/>
        <v>6.100179909883093</v>
      </c>
      <c r="C27" s="30">
        <f t="shared" si="1"/>
        <v>0.05740409086624576</v>
      </c>
      <c r="D27" s="30">
        <f t="shared" si="2"/>
        <v>0.1941747572815534</v>
      </c>
      <c r="E27" s="30">
        <f>1/(IMABS(COMPLEX(1-$B27*$B27*$L$4*$L$4,2*$B27*$L$5*$L$4,"j")))</f>
        <v>4.938704235799218</v>
      </c>
      <c r="F27" s="30">
        <f>1/(IMABS(COMPLEX(1-$B27*$B27*$L$4*$L$4,2*$B27*$L$6*$L$4,"j")))</f>
        <v>2.045746171641163</v>
      </c>
      <c r="G27" s="30">
        <f>1/(IMABS(COMPLEX(1-$B27*$B27*$L$4*$L$4,2*$B27*$L$7*$L$4,"j")))</f>
        <v>1.0282043135942787</v>
      </c>
      <c r="H27" s="30">
        <f>1/(IMABS(COMPLEX(1-$B27*$B27*$L$4*$L$4,2*$B27*$L$8*$L$4,"j")))</f>
        <v>0.7277939961660633</v>
      </c>
      <c r="I27" s="30">
        <f>1/(IMABS(COMPLEX(1-$B27*$B27*$L$4*$L$4,2*$B27*$L$9*$L$4,"j")))</f>
        <v>0.6433109005490154</v>
      </c>
      <c r="J27" s="30">
        <f>1/(IMABS(COMPLEX(1-$B27*$B27*$L$4*$L$4,2*$B27*$L$10*$L$4,"j")))</f>
        <v>0.5147750982580437</v>
      </c>
    </row>
    <row r="28" spans="1:10" ht="12.75">
      <c r="A28">
        <v>1.042</v>
      </c>
      <c r="B28" s="30">
        <f t="shared" si="0"/>
        <v>6.029928317830697</v>
      </c>
      <c r="C28" s="30">
        <f t="shared" si="1"/>
        <v>0.07898954100522759</v>
      </c>
      <c r="D28" s="30">
        <f t="shared" si="2"/>
        <v>0.19193857965451058</v>
      </c>
      <c r="E28" s="30">
        <f>1/(IMABS(COMPLEX(1-$B28*$B28*$L$4*$L$4,2*$B28*$L$5*$L$4,"j")))</f>
        <v>4.817961579699004</v>
      </c>
      <c r="F28" s="30">
        <f>1/(IMABS(COMPLEX(1-$B28*$B28*$L$4*$L$4,2*$B28*$L$6*$L$4,"j")))</f>
        <v>2.0563252462008306</v>
      </c>
      <c r="G28" s="30">
        <f>1/(IMABS(COMPLEX(1-$B28*$B28*$L$4*$L$4,2*$B28*$L$7*$L$4,"j")))</f>
        <v>1.0384883390275381</v>
      </c>
      <c r="H28" s="30">
        <f>1/(IMABS(COMPLEX(1-$B28*$B28*$L$4*$L$4,2*$B28*$L$8*$L$4,"j")))</f>
        <v>0.7356712826018202</v>
      </c>
      <c r="I28" s="30">
        <f>1/(IMABS(COMPLEX(1-$B28*$B28*$L$4*$L$4,2*$B28*$L$9*$L$4,"j")))</f>
        <v>0.6503900137826424</v>
      </c>
      <c r="J28" s="30">
        <f>1/(IMABS(COMPLEX(1-$B28*$B28*$L$4*$L$4,2*$B28*$L$10*$L$4,"j")))</f>
        <v>0.5205593729683692</v>
      </c>
    </row>
    <row r="29" spans="1:10" ht="12.75">
      <c r="A29">
        <v>1.053</v>
      </c>
      <c r="B29" s="30">
        <f t="shared" si="0"/>
        <v>5.966937613655828</v>
      </c>
      <c r="C29" s="30">
        <f t="shared" si="1"/>
        <v>0.09813141848596074</v>
      </c>
      <c r="D29" s="30">
        <f t="shared" si="2"/>
        <v>0.18993352326685664</v>
      </c>
      <c r="E29" s="30">
        <f>1/(IMABS(COMPLEX(1-$B29*$B29*$L$4*$L$4,2*$B29*$L$5*$L$4,"j")))</f>
        <v>4.677571457209011</v>
      </c>
      <c r="F29" s="30">
        <f>1/(IMABS(COMPLEX(1-$B29*$B29*$L$4*$L$4,2*$B29*$L$6*$L$4,"j")))</f>
        <v>2.062417236645689</v>
      </c>
      <c r="G29" s="30">
        <f>1/(IMABS(COMPLEX(1-$B29*$B29*$L$4*$L$4,2*$B29*$L$7*$L$4,"j")))</f>
        <v>1.0474228764463873</v>
      </c>
      <c r="H29" s="30">
        <f>1/(IMABS(COMPLEX(1-$B29*$B29*$L$4*$L$4,2*$B29*$L$8*$L$4,"j")))</f>
        <v>0.7427153390665139</v>
      </c>
      <c r="I29" s="30">
        <f>1/(IMABS(COMPLEX(1-$B29*$B29*$L$4*$L$4,2*$B29*$L$9*$L$4,"j")))</f>
        <v>0.6567567818274893</v>
      </c>
      <c r="J29" s="30">
        <f>1/(IMABS(COMPLEX(1-$B29*$B29*$L$4*$L$4,2*$B29*$L$10*$L$4,"j")))</f>
        <v>0.5257986854191147</v>
      </c>
    </row>
    <row r="30" spans="1:10" ht="12.75">
      <c r="A30">
        <v>1.064</v>
      </c>
      <c r="B30" s="30">
        <f t="shared" si="0"/>
        <v>5.905249348852994</v>
      </c>
      <c r="C30" s="30">
        <f t="shared" si="1"/>
        <v>0.11668268415399408</v>
      </c>
      <c r="D30" s="30">
        <f t="shared" si="2"/>
        <v>0.18796992481203006</v>
      </c>
      <c r="E30" s="30">
        <f>1/(IMABS(COMPLEX(1-$B30*$B30*$L$4*$L$4,2*$B30*$L$5*$L$4,"j")))</f>
        <v>4.519959659247327</v>
      </c>
      <c r="F30" s="30">
        <f>1/(IMABS(COMPLEX(1-$B30*$B30*$L$4*$L$4,2*$B30*$L$6*$L$4,"j")))</f>
        <v>2.065286347189014</v>
      </c>
      <c r="G30" s="30">
        <f>1/(IMABS(COMPLEX(1-$B30*$B30*$L$4*$L$4,2*$B30*$L$7*$L$4,"j")))</f>
        <v>1.0558937051869717</v>
      </c>
      <c r="H30" s="30">
        <f>1/(IMABS(COMPLEX(1-$B30*$B30*$L$4*$L$4,2*$B30*$L$8*$L$4,"j")))</f>
        <v>0.7495914993475222</v>
      </c>
      <c r="I30" s="30">
        <f>1/(IMABS(COMPLEX(1-$B30*$B30*$L$4*$L$4,2*$B30*$L$9*$L$4,"j")))</f>
        <v>0.6630070700005548</v>
      </c>
      <c r="J30" s="30">
        <f>1/(IMABS(COMPLEX(1-$B30*$B30*$L$4*$L$4,2*$B30*$L$10*$L$4,"j")))</f>
        <v>0.5309779672209883</v>
      </c>
    </row>
    <row r="31" spans="1:10" ht="12.75">
      <c r="A31">
        <v>1.075</v>
      </c>
      <c r="B31" s="30">
        <f t="shared" si="0"/>
        <v>5.844823541562406</v>
      </c>
      <c r="C31" s="30">
        <f t="shared" si="1"/>
        <v>0.13466738777717657</v>
      </c>
      <c r="D31" s="30">
        <f t="shared" si="2"/>
        <v>0.186046511627907</v>
      </c>
      <c r="E31" s="30">
        <f>1/(IMABS(COMPLEX(1-$B31*$B31*$L$4*$L$4,2*$B31*$L$5*$L$4,"j")))</f>
        <v>4.354060815961523</v>
      </c>
      <c r="F31" s="30">
        <f>1/(IMABS(COMPLEX(1-$B31*$B31*$L$4*$L$4,2*$B31*$L$6*$L$4,"j")))</f>
        <v>2.0651794079011356</v>
      </c>
      <c r="G31" s="30">
        <f>1/(IMABS(COMPLEX(1-$B31*$B31*$L$4*$L$4,2*$B31*$L$7*$L$4,"j")))</f>
        <v>1.0639093079425266</v>
      </c>
      <c r="H31" s="30">
        <f>1/(IMABS(COMPLEX(1-$B31*$B31*$L$4*$L$4,2*$B31*$L$8*$L$4,"j")))</f>
        <v>0.7563011661213517</v>
      </c>
      <c r="I31" s="30">
        <f>1/(IMABS(COMPLEX(1-$B31*$B31*$L$4*$L$4,2*$B31*$L$9*$L$4,"j")))</f>
        <v>0.669141596546755</v>
      </c>
      <c r="J31" s="30">
        <f>1/(IMABS(COMPLEX(1-$B31*$B31*$L$4*$L$4,2*$B31*$L$10*$L$4,"j")))</f>
        <v>0.5360974195418962</v>
      </c>
    </row>
    <row r="32" spans="1:10" ht="12.75">
      <c r="A32">
        <v>1.087</v>
      </c>
      <c r="B32" s="30">
        <f t="shared" si="0"/>
        <v>5.780299270634394</v>
      </c>
      <c r="C32" s="30">
        <f t="shared" si="1"/>
        <v>0.15366770793749662</v>
      </c>
      <c r="D32" s="30">
        <f t="shared" si="2"/>
        <v>0.18399264029438825</v>
      </c>
      <c r="E32" s="30">
        <f>1/(IMABS(COMPLEX(1-$B32*$B32*$L$4*$L$4,2*$B32*$L$5*$L$4,"j")))</f>
        <v>4.171483450136041</v>
      </c>
      <c r="F32" s="30">
        <f>1/(IMABS(COMPLEX(1-$B32*$B32*$L$4*$L$4,2*$B32*$L$6*$L$4,"j")))</f>
        <v>2.0619791099361953</v>
      </c>
      <c r="G32" s="30">
        <f>1/(IMABS(COMPLEX(1-$B32*$B32*$L$4*$L$4,2*$B32*$L$7*$L$4,"j")))</f>
        <v>1.0721457740130838</v>
      </c>
      <c r="H32" s="30">
        <f>1/(IMABS(COMPLEX(1-$B32*$B32*$L$4*$L$4,2*$B32*$L$8*$L$4,"j")))</f>
        <v>0.763432815784466</v>
      </c>
      <c r="I32" s="30">
        <f>1/(IMABS(COMPLEX(1-$B32*$B32*$L$4*$L$4,2*$B32*$L$9*$L$4,"j")))</f>
        <v>0.6757027561318217</v>
      </c>
      <c r="J32" s="30">
        <f>1/(IMABS(COMPLEX(1-$B32*$B32*$L$4*$L$4,2*$B32*$L$10*$L$4,"j")))</f>
        <v>0.5416143152015827</v>
      </c>
    </row>
    <row r="33" spans="1:10" ht="12.75">
      <c r="A33">
        <v>1.099</v>
      </c>
      <c r="B33" s="30">
        <f t="shared" si="0"/>
        <v>5.717184082965956</v>
      </c>
      <c r="C33" s="30">
        <f t="shared" si="1"/>
        <v>0.17204903787958448</v>
      </c>
      <c r="D33" s="30">
        <f t="shared" si="2"/>
        <v>0.18198362147406735</v>
      </c>
      <c r="E33" s="30">
        <f>1/(IMABS(COMPLEX(1-$B33*$B33*$L$4*$L$4,2*$B33*$L$5*$L$4,"j")))</f>
        <v>3.9930132308856905</v>
      </c>
      <c r="F33" s="30">
        <f>1/(IMABS(COMPLEX(1-$B33*$B33*$L$4*$L$4,2*$B33*$L$6*$L$4,"j")))</f>
        <v>2.0559051850430063</v>
      </c>
      <c r="G33" s="30">
        <f>1/(IMABS(COMPLEX(1-$B33*$B33*$L$4*$L$4,2*$B33*$L$7*$L$4,"j")))</f>
        <v>1.079865857320102</v>
      </c>
      <c r="H33" s="30">
        <f>1/(IMABS(COMPLEX(1-$B33*$B33*$L$4*$L$4,2*$B33*$L$8*$L$4,"j")))</f>
        <v>0.7703705955215376</v>
      </c>
      <c r="I33" s="30">
        <f>1/(IMABS(COMPLEX(1-$B33*$B33*$L$4*$L$4,2*$B33*$L$9*$L$4,"j")))</f>
        <v>0.68212834572765</v>
      </c>
      <c r="J33" s="30">
        <f>1/(IMABS(COMPLEX(1-$B33*$B33*$L$4*$L$4,2*$B33*$L$10*$L$4,"j")))</f>
        <v>0.5470606272938559</v>
      </c>
    </row>
    <row r="34" spans="1:10" ht="12.75">
      <c r="A34">
        <v>1.11</v>
      </c>
      <c r="B34" s="30">
        <f t="shared" si="0"/>
        <v>5.6605273037653925</v>
      </c>
      <c r="C34" s="30">
        <f t="shared" si="1"/>
        <v>0.1883775667559452</v>
      </c>
      <c r="D34" s="30">
        <f t="shared" si="2"/>
        <v>0.18018018018018017</v>
      </c>
      <c r="E34" s="30">
        <f>1/(IMABS(COMPLEX(1-$B34*$B34*$L$4*$L$4,2*$B34*$L$5*$L$4,"j")))</f>
        <v>3.8362072155017644</v>
      </c>
      <c r="F34" s="30">
        <f>1/(IMABS(COMPLEX(1-$B34*$B34*$L$4*$L$4,2*$B34*$L$6*$L$4,"j")))</f>
        <v>2.048115386031218</v>
      </c>
      <c r="G34" s="30">
        <f>1/(IMABS(COMPLEX(1-$B34*$B34*$L$4*$L$4,2*$B34*$L$7*$L$4,"j")))</f>
        <v>1.0865018490337985</v>
      </c>
      <c r="H34" s="30">
        <f>1/(IMABS(COMPLEX(1-$B34*$B34*$L$4*$L$4,2*$B34*$L$8*$L$4,"j")))</f>
        <v>0.7765621298694287</v>
      </c>
      <c r="I34" s="30">
        <f>1/(IMABS(COMPLEX(1-$B34*$B34*$L$4*$L$4,2*$B34*$L$9*$L$4,"j")))</f>
        <v>0.687900517761916</v>
      </c>
      <c r="J34" s="30">
        <f>1/(IMABS(COMPLEX(1-$B34*$B34*$L$4*$L$4,2*$B34*$L$10*$L$4,"j")))</f>
        <v>0.5519913982348467</v>
      </c>
    </row>
    <row r="35" spans="1:10" ht="12.75">
      <c r="A35">
        <v>1.149</v>
      </c>
      <c r="B35" s="30">
        <f t="shared" si="0"/>
        <v>5.468394523219831</v>
      </c>
      <c r="C35" s="30">
        <f t="shared" si="1"/>
        <v>0.24253958298774214</v>
      </c>
      <c r="D35" s="30">
        <f t="shared" si="2"/>
        <v>0.1740644038294169</v>
      </c>
      <c r="E35" s="30">
        <f>1/(IMABS(COMPLEX(1-$B35*$B35*$L$4*$L$4,2*$B35*$L$5*$L$4,"j")))</f>
        <v>3.349677464794695</v>
      </c>
      <c r="F35" s="30">
        <f>1/(IMABS(COMPLEX(1-$B35*$B35*$L$4*$L$4,2*$B35*$L$6*$L$4,"j")))</f>
        <v>2.0072773133635957</v>
      </c>
      <c r="G35" s="30">
        <f>1/(IMABS(COMPLEX(1-$B35*$B35*$L$4*$L$4,2*$B35*$L$7*$L$4,"j")))</f>
        <v>1.1068247489468401</v>
      </c>
      <c r="H35" s="30">
        <f>1/(IMABS(COMPLEX(1-$B35*$B35*$L$4*$L$4,2*$B35*$L$8*$L$4,"j")))</f>
        <v>0.7972522941703103</v>
      </c>
      <c r="I35" s="30">
        <f>1/(IMABS(COMPLEX(1-$B35*$B35*$L$4*$L$4,2*$B35*$L$9*$L$4,"j")))</f>
        <v>0.7074740348622074</v>
      </c>
      <c r="J35" s="30">
        <f>1/(IMABS(COMPLEX(1-$B35*$B35*$L$4*$L$4,2*$B35*$L$10*$L$4,"j")))</f>
        <v>0.5690028579420486</v>
      </c>
    </row>
    <row r="36" spans="1:10" ht="12.75">
      <c r="A36">
        <v>1.176</v>
      </c>
      <c r="B36" s="30">
        <f t="shared" si="0"/>
        <v>5.342844648962234</v>
      </c>
      <c r="C36" s="30">
        <f t="shared" si="1"/>
        <v>0.2769216530149473</v>
      </c>
      <c r="D36" s="30">
        <f t="shared" si="2"/>
        <v>0.17006802721088438</v>
      </c>
      <c r="E36" s="30">
        <f>1/(IMABS(COMPLEX(1-$B36*$B36*$L$4*$L$4,2*$B36*$L$5*$L$4,"j")))</f>
        <v>3.077159997678136</v>
      </c>
      <c r="F36" s="30">
        <f>1/(IMABS(COMPLEX(1-$B36*$B36*$L$4*$L$4,2*$B36*$L$6*$L$4,"j")))</f>
        <v>1.9708300502865095</v>
      </c>
      <c r="G36" s="30">
        <f>1/(IMABS(COMPLEX(1-$B36*$B36*$L$4*$L$4,2*$B36*$L$7*$L$4,"j")))</f>
        <v>1.1181989709860518</v>
      </c>
      <c r="H36" s="30">
        <f>1/(IMABS(COMPLEX(1-$B36*$B36*$L$4*$L$4,2*$B36*$L$8*$L$4,"j")))</f>
        <v>0.8104660362037869</v>
      </c>
      <c r="I36" s="30">
        <f>1/(IMABS(COMPLEX(1-$B36*$B36*$L$4*$L$4,2*$B36*$L$9*$L$4,"j")))</f>
        <v>0.7202326789964861</v>
      </c>
      <c r="J36" s="30">
        <f>1/(IMABS(COMPLEX(1-$B36*$B36*$L$4*$L$4,2*$B36*$L$10*$L$4,"j")))</f>
        <v>0.5803566632647592</v>
      </c>
    </row>
    <row r="37" spans="1:10" ht="12.75">
      <c r="A37">
        <v>1.25</v>
      </c>
      <c r="B37" s="30">
        <f t="shared" si="0"/>
        <v>5.026548245743669</v>
      </c>
      <c r="C37" s="30">
        <f t="shared" si="1"/>
        <v>0.3599999999999999</v>
      </c>
      <c r="D37" s="30">
        <f t="shared" si="2"/>
        <v>0.16000000000000003</v>
      </c>
      <c r="E37" s="30">
        <f>1/(IMABS(COMPLEX(1-$B37*$B37*$L$4*$L$4,2*$B37*$L$5*$L$4,"j")))</f>
        <v>2.5383654128340476</v>
      </c>
      <c r="F37" s="30">
        <f>1/(IMABS(COMPLEX(1-$B37*$B37*$L$4*$L$4,2*$B37*$L$6*$L$4,"j")))</f>
        <v>1.858235365617916</v>
      </c>
      <c r="G37" s="30">
        <f>1/(IMABS(COMPLEX(1-$B37*$B37*$L$4*$L$4,2*$B37*$L$7*$L$4,"j")))</f>
        <v>1.139901881468883</v>
      </c>
      <c r="H37" s="30">
        <f>1/(IMABS(COMPLEX(1-$B37*$B37*$L$4*$L$4,2*$B37*$L$8*$L$4,"j")))</f>
        <v>0.8423869140743475</v>
      </c>
      <c r="I37" s="30">
        <f>1/(IMABS(COMPLEX(1-$B37*$B37*$L$4*$L$4,2*$B37*$L$9*$L$4,"j")))</f>
        <v>0.7520710469952335</v>
      </c>
      <c r="J37" s="30">
        <f>1/(IMABS(COMPLEX(1-$B37*$B37*$L$4*$L$4,2*$B37*$L$10*$L$4,"j")))</f>
        <v>0.6097560975609756</v>
      </c>
    </row>
    <row r="38" spans="1:10" ht="12.75">
      <c r="A38">
        <v>1.4285714285714286</v>
      </c>
      <c r="B38" s="30">
        <f t="shared" si="0"/>
        <v>4.39822971502571</v>
      </c>
      <c r="C38" s="30">
        <f t="shared" si="1"/>
        <v>0.51</v>
      </c>
      <c r="D38" s="30">
        <f t="shared" si="2"/>
        <v>0.14</v>
      </c>
      <c r="E38" s="30">
        <f>1/(IMABS(COMPLEX(1-$B38*$B38*$L$4*$L$4,2*$B38*$L$5*$L$4,"j")))</f>
        <v>1.8908355841512123</v>
      </c>
      <c r="F38" s="30">
        <f>1/(IMABS(COMPLEX(1-$B38*$B38*$L$4*$L$4,2*$B38*$L$6*$L$4,"j")))</f>
        <v>1.616692848321183</v>
      </c>
      <c r="G38" s="30">
        <f>1/(IMABS(COMPLEX(1-$B38*$B38*$L$4*$L$4,2*$B38*$L$7*$L$4,"j")))</f>
        <v>1.154623566040508</v>
      </c>
      <c r="H38" s="30">
        <f>1/(IMABS(COMPLEX(1-$B38*$B38*$L$4*$L$4,2*$B38*$L$8*$L$4,"j")))</f>
        <v>0.8980974771238897</v>
      </c>
      <c r="I38" s="30">
        <f>1/(IMABS(COMPLEX(1-$B38*$B38*$L$4*$L$4,2*$B38*$L$9*$L$4,"j")))</f>
        <v>0.8125785636395395</v>
      </c>
      <c r="J38" s="30">
        <f>1/(IMABS(COMPLEX(1-$B38*$B38*$L$4*$L$4,2*$B38*$L$10*$L$4,"j")))</f>
        <v>0.6711409395973155</v>
      </c>
    </row>
    <row r="39" spans="1:10" ht="12.75">
      <c r="A39">
        <v>1.6666666666666667</v>
      </c>
      <c r="B39" s="30">
        <f t="shared" si="0"/>
        <v>3.7699111843077517</v>
      </c>
      <c r="C39" s="30">
        <f t="shared" si="1"/>
        <v>0.6399999999999999</v>
      </c>
      <c r="D39" s="30">
        <f t="shared" si="2"/>
        <v>0.12000000000000001</v>
      </c>
      <c r="E39" s="30">
        <f>1/(IMABS(COMPLEX(1-$B39*$B39*$L$4*$L$4,2*$B39*$L$5*$L$4,"j")))</f>
        <v>1.535737792084878</v>
      </c>
      <c r="F39" s="30">
        <f>1/(IMABS(COMPLEX(1-$B39*$B39*$L$4*$L$4,2*$B39*$L$6*$L$4,"j")))</f>
        <v>1.4147795874357318</v>
      </c>
      <c r="G39" s="30">
        <f>1/(IMABS(COMPLEX(1-$B39*$B39*$L$4*$L$4,2*$B39*$L$7*$L$4,"j")))</f>
        <v>1.139901881468883</v>
      </c>
      <c r="H39" s="30">
        <f>1/(IMABS(COMPLEX(1-$B39*$B39*$L$4*$L$4,2*$B39*$L$8*$L$4,"j")))</f>
        <v>0.94097798202616</v>
      </c>
      <c r="I39" s="30">
        <f>1/(IMABS(COMPLEX(1-$B39*$B39*$L$4*$L$4,2*$B39*$L$9*$L$4,"j")))</f>
        <v>0.8667190566019206</v>
      </c>
      <c r="J39" s="30">
        <f>1/(IMABS(COMPLEX(1-$B39*$B39*$L$4*$L$4,2*$B39*$L$10*$L$4,"j")))</f>
        <v>0.7352941176470589</v>
      </c>
    </row>
    <row r="40" spans="1:10" ht="12.75">
      <c r="A40">
        <v>2</v>
      </c>
      <c r="B40" s="30">
        <f t="shared" si="0"/>
        <v>3.141592653589793</v>
      </c>
      <c r="C40" s="30">
        <f t="shared" si="1"/>
        <v>0.75</v>
      </c>
      <c r="D40" s="30">
        <f t="shared" si="2"/>
        <v>0.1</v>
      </c>
      <c r="E40" s="30">
        <f>1/(IMABS(COMPLEX(1-$B40*$B40*$L$4*$L$4,2*$B40*$L$5*$L$4,"j")))</f>
        <v>1.3216372009101796</v>
      </c>
      <c r="F40" s="30">
        <f>1/(IMABS(COMPLEX(1-$B40*$B40*$L$4*$L$4,2*$B40*$L$6*$L$4,"j")))</f>
        <v>1.2649110640673518</v>
      </c>
      <c r="G40" s="30">
        <f>1/(IMABS(COMPLEX(1-$B40*$B40*$L$4*$L$4,2*$B40*$L$7*$L$4,"j")))</f>
        <v>1.109400392450458</v>
      </c>
      <c r="H40" s="30">
        <f>1/(IMABS(COMPLEX(1-$B40*$B40*$L$4*$L$4,2*$B40*$L$8*$L$4,"j")))</f>
        <v>0.9702114446788113</v>
      </c>
      <c r="I40" s="30">
        <f>1/(IMABS(COMPLEX(1-$B40*$B40*$L$4*$L$4,2*$B40*$L$9*$L$4,"j")))</f>
        <v>0.9119215051751063</v>
      </c>
      <c r="J40" s="30">
        <f>1/(IMABS(COMPLEX(1-$B40*$B40*$L$4*$L$4,2*$B40*$L$10*$L$4,"j")))</f>
        <v>0.8</v>
      </c>
    </row>
    <row r="41" spans="1:10" ht="12.75">
      <c r="A41">
        <v>2.5</v>
      </c>
      <c r="B41" s="30">
        <f t="shared" si="0"/>
        <v>2.5132741228718345</v>
      </c>
      <c r="C41" s="30">
        <f t="shared" si="1"/>
        <v>0.84</v>
      </c>
      <c r="D41" s="30">
        <f t="shared" si="2"/>
        <v>0.08000000000000002</v>
      </c>
      <c r="E41" s="30">
        <f>1/(IMABS(COMPLEX(1-$B41*$B41*$L$4*$L$4,2*$B41*$L$5*$L$4,"j")))</f>
        <v>1.185113657849943</v>
      </c>
      <c r="F41" s="30">
        <f>1/(IMABS(COMPLEX(1-$B41*$B41*$L$4*$L$4,2*$B41*$L$6*$L$4,"j")))</f>
        <v>1.1581026365301985</v>
      </c>
      <c r="G41" s="30">
        <f>1/(IMABS(COMPLEX(1-$B41*$B41*$L$4*$L$4,2*$B41*$L$7*$L$4,"j")))</f>
        <v>1.0748339509808695</v>
      </c>
      <c r="H41" s="30">
        <f>1/(IMABS(COMPLEX(1-$B41*$B41*$L$4*$L$4,2*$B41*$L$8*$L$4,"j")))</f>
        <v>0.9874871573686608</v>
      </c>
      <c r="I41" s="30">
        <f>1/(IMABS(COMPLEX(1-$B41*$B41*$L$4*$L$4,2*$B41*$L$9*$L$4,"j")))</f>
        <v>0.9469425238482128</v>
      </c>
      <c r="J41" s="30">
        <f>1/(IMABS(COMPLEX(1-$B41*$B41*$L$4*$L$4,2*$B41*$L$10*$L$4,"j")))</f>
        <v>0.8620689655172413</v>
      </c>
    </row>
    <row r="42" spans="1:10" ht="12.75">
      <c r="A42">
        <v>3.3333333333333335</v>
      </c>
      <c r="B42" s="30">
        <f t="shared" si="0"/>
        <v>1.8849555921538759</v>
      </c>
      <c r="C42" s="30">
        <f t="shared" si="1"/>
        <v>0.91</v>
      </c>
      <c r="D42" s="30">
        <f t="shared" si="2"/>
        <v>0.060000000000000005</v>
      </c>
      <c r="E42" s="30">
        <f>1/(IMABS(COMPLEX(1-$B42*$B42*$L$4*$L$4,2*$B42*$L$5*$L$4,"j")))</f>
        <v>1.0965202319032639</v>
      </c>
      <c r="F42" s="30">
        <f>1/(IMABS(COMPLEX(1-$B42*$B42*$L$4*$L$4,2*$B42*$L$6*$L$4,"j")))</f>
        <v>1.0842696731877572</v>
      </c>
      <c r="G42" s="30">
        <f>1/(IMABS(COMPLEX(1-$B42*$B42*$L$4*$L$4,2*$B42*$L$7*$L$4,"j")))</f>
        <v>1.043650309657746</v>
      </c>
      <c r="H42" s="30">
        <f>1/(IMABS(COMPLEX(1-$B42*$B42*$L$4*$L$4,2*$B42*$L$8*$L$4,"j")))</f>
        <v>0.9960012930046184</v>
      </c>
      <c r="I42" s="30">
        <f>1/(IMABS(COMPLEX(1-$B42*$B42*$L$4*$L$4,2*$B42*$L$9*$L$4,"j")))</f>
        <v>0.9719738231534876</v>
      </c>
      <c r="J42" s="30">
        <f>1/(IMABS(COMPLEX(1-$B42*$B42*$L$4*$L$4,2*$B42*$L$10*$L$4,"j")))</f>
        <v>0.9174311926605504</v>
      </c>
    </row>
    <row r="43" spans="1:10" ht="12.75">
      <c r="A43">
        <v>5</v>
      </c>
      <c r="B43" s="30">
        <f t="shared" si="0"/>
        <v>1.2566370614359172</v>
      </c>
      <c r="C43" s="30">
        <f t="shared" si="1"/>
        <v>0.96</v>
      </c>
      <c r="D43" s="30">
        <f t="shared" si="2"/>
        <v>0.04000000000000001</v>
      </c>
      <c r="E43" s="30">
        <f>1/(IMABS(COMPLEX(1-$B43*$B43*$L$4*$L$4,2*$B43*$L$5*$L$4,"j")))</f>
        <v>1.0407636178045334</v>
      </c>
      <c r="F43" s="30">
        <f>1/(IMABS(COMPLEX(1-$B43*$B43*$L$4*$L$4,2*$B43*$L$6*$L$4,"j")))</f>
        <v>1.0360608425945603</v>
      </c>
      <c r="G43" s="30">
        <f>1/(IMABS(COMPLEX(1-$B43*$B43*$L$4*$L$4,2*$B43*$L$7*$L$4,"j")))</f>
        <v>1.0197712705600053</v>
      </c>
      <c r="H43" s="30">
        <f>1/(IMABS(COMPLEX(1-$B43*$B43*$L$4*$L$4,2*$B43*$L$8*$L$4,"j")))</f>
        <v>0.9992130100056862</v>
      </c>
      <c r="I43" s="30">
        <f>1/(IMABS(COMPLEX(1-$B43*$B43*$L$4*$L$4,2*$B43*$L$9*$L$4,"j")))</f>
        <v>0.9882117688026186</v>
      </c>
      <c r="J43" s="30">
        <f>1/(IMABS(COMPLEX(1-$B43*$B43*$L$4*$L$4,2*$B43*$L$10*$L$4,"j")))</f>
        <v>0.9615384615384617</v>
      </c>
    </row>
    <row r="44" spans="1:10" ht="12.75">
      <c r="A44">
        <v>10</v>
      </c>
      <c r="B44" s="30">
        <f t="shared" si="0"/>
        <v>0.6283185307179586</v>
      </c>
      <c r="C44" s="30">
        <f t="shared" si="1"/>
        <v>0.99</v>
      </c>
      <c r="D44" s="30">
        <f t="shared" si="2"/>
        <v>0.020000000000000004</v>
      </c>
      <c r="E44" s="30">
        <f>1/(IMABS(COMPLEX(1-$B44*$B44*$L$4*$L$4,2*$B44*$L$5*$L$4,"j")))</f>
        <v>1.0098949511412774</v>
      </c>
      <c r="F44" s="30">
        <f>1/(IMABS(COMPLEX(1-$B44*$B44*$L$4*$L$4,2*$B44*$L$6*$L$4,"j")))</f>
        <v>1.0088152067206402</v>
      </c>
      <c r="G44" s="30">
        <f>1/(IMABS(COMPLEX(1-$B44*$B44*$L$4*$L$4,2*$B44*$L$7*$L$4,"j")))</f>
        <v>1.0049870596186847</v>
      </c>
      <c r="H44" s="30">
        <f>1/(IMABS(COMPLEX(1-$B44*$B44*$L$4*$L$4,2*$B44*$L$8*$L$4,"j")))</f>
        <v>0.9999530233104211</v>
      </c>
      <c r="I44" s="30">
        <f>1/(IMABS(COMPLEX(1-$B44*$B44*$L$4*$L$4,2*$B44*$L$9*$L$4,"j")))</f>
        <v>0.997162126164355</v>
      </c>
      <c r="J44" s="30">
        <f>1/(IMABS(COMPLEX(1-$B44*$B44*$L$4*$L$4,2*$B44*$L$10*$L$4,"j")))</f>
        <v>0.9900990099009901</v>
      </c>
    </row>
  </sheetData>
  <sheetProtection sheet="1" objects="1" scenarios="1"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Graphs of BB seismo performance</dc:subject>
  <dc:creator>Brett Nordgren</dc:creator>
  <cp:keywords/>
  <dc:description>Rev. 25 May, 2009</dc:description>
  <cp:lastModifiedBy>Brett Nordgren</cp:lastModifiedBy>
  <cp:lastPrinted>2008-08-10T13:19:27Z</cp:lastPrinted>
  <dcterms:created xsi:type="dcterms:W3CDTF">1998-10-30T11:56:21Z</dcterms:created>
  <dcterms:modified xsi:type="dcterms:W3CDTF">2009-11-19T14:58:02Z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ised">
    <vt:filetime>2009-05-25T04:00:00Z</vt:filetime>
  </property>
</Properties>
</file>