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72" windowWidth="23016" windowHeight="3684" activeTab="4"/>
  </bookViews>
  <sheets>
    <sheet name="Inyo" sheetId="1" r:id="rId1"/>
    <sheet name="InyoPlot" sheetId="2" r:id="rId2"/>
    <sheet name="Yuma" sheetId="3" r:id="rId3"/>
    <sheet name="YumaPlot" sheetId="4" r:id="rId4"/>
    <sheet name="Yuma2" sheetId="5" r:id="rId5"/>
    <sheet name="Napa" sheetId="6" r:id="rId6"/>
    <sheet name="NapaPlot" sheetId="7" r:id="rId7"/>
  </sheets>
  <definedNames/>
  <calcPr fullCalcOnLoad="1"/>
</workbook>
</file>

<file path=xl/sharedStrings.xml><?xml version="1.0" encoding="utf-8"?>
<sst xmlns="http://schemas.openxmlformats.org/spreadsheetml/2006/main" count="188" uniqueCount="88">
  <si>
    <r>
      <t>A-mm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</si>
  <si>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</si>
  <si>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</si>
  <si>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C1-pF</t>
  </si>
  <si>
    <t>C2-pF</t>
  </si>
  <si>
    <t>m</t>
  </si>
  <si>
    <r>
      <t xml:space="preserve">C= </t>
    </r>
    <r>
      <rPr>
        <sz val="14"/>
        <rFont val="Symbol"/>
        <family val="1"/>
      </rP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 A/d - Fd</t>
    </r>
  </si>
  <si>
    <r>
      <t>d</t>
    </r>
    <r>
      <rPr>
        <b/>
        <sz val="10"/>
        <rFont val="Arial"/>
        <family val="2"/>
      </rPr>
      <t xml:space="preserve"> - m</t>
    </r>
  </si>
  <si>
    <r>
      <t>d</t>
    </r>
    <r>
      <rPr>
        <b/>
        <sz val="10"/>
        <rFont val="Arial"/>
        <family val="2"/>
      </rPr>
      <t>C - pF</t>
    </r>
  </si>
  <si>
    <t>Area</t>
  </si>
  <si>
    <t>holes</t>
  </si>
  <si>
    <t>FR-4</t>
  </si>
  <si>
    <t>= K</t>
  </si>
  <si>
    <t>C3</t>
  </si>
  <si>
    <t>pF</t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</si>
  <si>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</si>
  <si>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w-in</t>
  </si>
  <si>
    <t>h-in</t>
  </si>
  <si>
    <t>dia1-in</t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</si>
  <si>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-in</t>
    </r>
  </si>
  <si>
    <r>
      <t>d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-m</t>
    </r>
  </si>
  <si>
    <r>
      <t>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-mm</t>
    </r>
  </si>
  <si>
    <r>
      <t>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-m</t>
    </r>
  </si>
  <si>
    <r>
      <t>d</t>
    </r>
    <r>
      <rPr>
        <b/>
        <sz val="10"/>
        <rFont val="Arial"/>
        <family val="2"/>
      </rPr>
      <t xml:space="preserve"> - mm</t>
    </r>
  </si>
  <si>
    <r>
      <t>d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-mm</t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</si>
  <si>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ctr.- in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</si>
  <si>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ctr.- in</t>
    </r>
  </si>
  <si>
    <t>mm</t>
  </si>
  <si>
    <t>dC/dy</t>
  </si>
  <si>
    <t>pF/mm</t>
  </si>
  <si>
    <r>
      <t>d</t>
    </r>
    <r>
      <rPr>
        <vertAlign val="subscript"/>
        <sz val="10"/>
        <rFont val="Arial"/>
        <family val="2"/>
      </rPr>
      <t>sensor</t>
    </r>
    <r>
      <rPr>
        <sz val="10"/>
        <rFont val="Arial"/>
        <family val="0"/>
      </rPr>
      <t xml:space="preserve"> </t>
    </r>
  </si>
  <si>
    <t>coil to pivot</t>
  </si>
  <si>
    <t>in</t>
  </si>
  <si>
    <t>at coil</t>
  </si>
  <si>
    <r>
      <t>d</t>
    </r>
    <r>
      <rPr>
        <b/>
        <sz val="10"/>
        <rFont val="Arial"/>
        <family val="2"/>
      </rPr>
      <t xml:space="preserve"> - m at coil</t>
    </r>
  </si>
  <si>
    <t>Cmin</t>
  </si>
  <si>
    <r>
      <t>d</t>
    </r>
    <r>
      <rPr>
        <b/>
        <sz val="10"/>
        <rFont val="Arial"/>
        <family val="2"/>
      </rPr>
      <t>C</t>
    </r>
  </si>
  <si>
    <r>
      <t>d</t>
    </r>
    <r>
      <rPr>
        <b/>
        <sz val="10"/>
        <rFont val="Arial"/>
        <family val="2"/>
      </rPr>
      <t>Z</t>
    </r>
  </si>
  <si>
    <t>m at Coil</t>
  </si>
  <si>
    <t>m at Sensor</t>
  </si>
  <si>
    <r>
      <t>d</t>
    </r>
    <r>
      <rPr>
        <sz val="10"/>
        <rFont val="Arial"/>
        <family val="2"/>
      </rPr>
      <t>V mV</t>
    </r>
  </si>
  <si>
    <t>mV/M</t>
  </si>
  <si>
    <t>mV/mm</t>
  </si>
  <si>
    <t>V/mm</t>
  </si>
  <si>
    <t>mm offset</t>
  </si>
  <si>
    <t>mV offset</t>
  </si>
  <si>
    <t>in offset</t>
  </si>
  <si>
    <t>in/in</t>
  </si>
  <si>
    <t>Ratio</t>
  </si>
  <si>
    <r>
      <t>d</t>
    </r>
    <r>
      <rPr>
        <vertAlign val="subscript"/>
        <sz val="10"/>
        <rFont val="Arial"/>
        <family val="2"/>
      </rPr>
      <t>coil</t>
    </r>
    <r>
      <rPr>
        <sz val="10"/>
        <rFont val="Arial"/>
        <family val="0"/>
      </rPr>
      <t xml:space="preserve"> </t>
    </r>
  </si>
  <si>
    <t>sensor to pivot</t>
  </si>
  <si>
    <t>pF min to max</t>
  </si>
  <si>
    <t>Current Loading test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</si>
  <si>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A </t>
    </r>
    <r>
      <rPr>
        <sz val="10"/>
        <rFont val="Symbol"/>
        <family val="1"/>
      </rPr>
      <t>d</t>
    </r>
    <r>
      <rPr>
        <sz val="10"/>
        <rFont val="Arial"/>
        <family val="2"/>
      </rPr>
      <t>I</t>
    </r>
  </si>
  <si>
    <r>
      <t>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mV</t>
    </r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</si>
  <si>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- mV</t>
    </r>
  </si>
  <si>
    <r>
      <t>mV @C1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</t>
    </r>
  </si>
  <si>
    <r>
      <t>mV @C1</t>
    </r>
    <r>
      <rPr>
        <vertAlign val="subscript"/>
        <sz val="10"/>
        <rFont val="Arial"/>
        <family val="2"/>
      </rPr>
      <t>max</t>
    </r>
  </si>
  <si>
    <t>FBV Capacitance sensor modeling</t>
  </si>
  <si>
    <r>
      <t>A -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</si>
  <si>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- F/m</t>
    </r>
  </si>
  <si>
    <r>
      <t>R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 xml:space="preserve"> - Ohms</t>
    </r>
  </si>
  <si>
    <t>pF (measured)</t>
  </si>
  <si>
    <t>Jan 20, 2013</t>
  </si>
  <si>
    <r>
      <t>d(C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)/dz</t>
    </r>
  </si>
  <si>
    <r>
      <t>z</t>
    </r>
    <r>
      <rPr>
        <sz val="10"/>
        <rFont val="Arial"/>
        <family val="2"/>
      </rPr>
      <t>1</t>
    </r>
    <r>
      <rPr>
        <vertAlign val="subscript"/>
        <sz val="10"/>
        <rFont val="Arial"/>
        <family val="2"/>
      </rPr>
      <t>centerd</t>
    </r>
    <r>
      <rPr>
        <sz val="10"/>
        <rFont val="Arial"/>
        <family val="0"/>
      </rPr>
      <t>.- in</t>
    </r>
  </si>
  <si>
    <r>
      <t>z</t>
    </r>
    <r>
      <rPr>
        <sz val="10"/>
        <rFont val="Arial"/>
        <family val="2"/>
      </rPr>
      <t>2</t>
    </r>
    <r>
      <rPr>
        <vertAlign val="subscript"/>
        <sz val="10"/>
        <rFont val="Arial"/>
        <family val="2"/>
      </rPr>
      <t>centered</t>
    </r>
    <r>
      <rPr>
        <sz val="10"/>
        <rFont val="Arial"/>
        <family val="0"/>
      </rPr>
      <t>.- in</t>
    </r>
  </si>
  <si>
    <r>
      <t>z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-in</t>
    </r>
  </si>
  <si>
    <r>
      <t>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-mm</t>
    </r>
  </si>
  <si>
    <r>
      <t>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-m</t>
    </r>
  </si>
  <si>
    <r>
      <t>z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-mm</t>
    </r>
  </si>
  <si>
    <r>
      <t>z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-m</t>
    </r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</si>
  <si>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-pF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</si>
  <si>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-pF</t>
    </r>
  </si>
  <si>
    <t>vs center</t>
  </si>
  <si>
    <t>dC/dz</t>
  </si>
  <si>
    <t>vs ΔC/Δz</t>
  </si>
  <si>
    <t>dia2-in</t>
  </si>
  <si>
    <t>From Inyo Spice model</t>
  </si>
  <si>
    <t>From Inyo data computed here</t>
  </si>
  <si>
    <t>Measured</t>
  </si>
  <si>
    <t>Cc</t>
  </si>
  <si>
    <t>Ca-pF</t>
  </si>
  <si>
    <t>Cb-pF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</si>
  <si>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-m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</si>
  <si>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-mm</t>
    </r>
  </si>
  <si>
    <r>
      <t>d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-m</t>
    </r>
  </si>
  <si>
    <r>
      <t>d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-mm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</si>
</sst>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E+00"/>
    <numFmt numFmtId="168" formatCode="0.000000"/>
    <numFmt numFmtId="169" formatCode="0.00000000"/>
    <numFmt numFmtId="170" formatCode="0.00000"/>
    <numFmt numFmtId="171" formatCode="0.0000000"/>
    <numFmt numFmtId="172" formatCode="0.0000E+00"/>
    <numFmt numFmtId="173" formatCode="#,##0.0"/>
  </numFmts>
  <fonts count="14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4"/>
      <name val="Symbol"/>
      <family val="1"/>
    </font>
    <font>
      <sz val="8"/>
      <name val="Arial"/>
      <family val="0"/>
    </font>
    <font>
      <b/>
      <sz val="12"/>
      <name val="Symbol"/>
      <family val="1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2" borderId="7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3" borderId="0" xfId="0" applyFill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  <xf numFmtId="2" fontId="0" fillId="3" borderId="0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 locked="0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66" fontId="0" fillId="0" borderId="8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6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4" borderId="0" xfId="0" applyFill="1" applyAlignment="1">
      <alignment/>
    </xf>
    <xf numFmtId="168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170" fontId="0" fillId="4" borderId="0" xfId="0" applyNumberFormat="1" applyFill="1" applyAlignment="1">
      <alignment/>
    </xf>
    <xf numFmtId="0" fontId="6" fillId="0" borderId="4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4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11" fillId="0" borderId="0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2" fontId="0" fillId="3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164" fontId="0" fillId="2" borderId="12" xfId="0" applyNumberFormat="1" applyFill="1" applyBorder="1" applyAlignment="1">
      <alignment/>
    </xf>
    <xf numFmtId="164" fontId="0" fillId="3" borderId="12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2" borderId="13" xfId="0" applyFill="1" applyBorder="1" applyAlignment="1">
      <alignment/>
    </xf>
    <xf numFmtId="2" fontId="0" fillId="2" borderId="9" xfId="0" applyNumberFormat="1" applyFill="1" applyBorder="1" applyAlignment="1">
      <alignment/>
    </xf>
    <xf numFmtId="1" fontId="0" fillId="3" borderId="9" xfId="0" applyNumberFormat="1" applyFill="1" applyBorder="1" applyAlignment="1" applyProtection="1">
      <alignment/>
      <protection locked="0"/>
    </xf>
    <xf numFmtId="11" fontId="0" fillId="4" borderId="9" xfId="0" applyNumberFormat="1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9" xfId="0" applyNumberFormat="1" applyFill="1" applyBorder="1" applyAlignment="1">
      <alignment/>
    </xf>
    <xf numFmtId="0" fontId="0" fillId="0" borderId="9" xfId="0" applyBorder="1" applyAlignment="1" quotePrefix="1">
      <alignment/>
    </xf>
    <xf numFmtId="0" fontId="0" fillId="0" borderId="8" xfId="0" applyFill="1" applyBorder="1" applyAlignment="1">
      <alignment/>
    </xf>
    <xf numFmtId="0" fontId="0" fillId="3" borderId="15" xfId="0" applyFill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6" xfId="0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164" fontId="0" fillId="2" borderId="18" xfId="0" applyNumberForma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vertical="center"/>
    </xf>
    <xf numFmtId="0" fontId="13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70" fontId="0" fillId="0" borderId="1" xfId="0" applyNumberFormat="1" applyBorder="1" applyAlignment="1">
      <alignment/>
    </xf>
    <xf numFmtId="0" fontId="0" fillId="3" borderId="15" xfId="0" applyFill="1" applyBorder="1" applyAlignment="1" applyProtection="1" quotePrefix="1">
      <alignment/>
      <protection locked="0"/>
    </xf>
    <xf numFmtId="0" fontId="0" fillId="2" borderId="22" xfId="0" applyFill="1" applyBorder="1" applyAlignment="1">
      <alignment/>
    </xf>
    <xf numFmtId="172" fontId="0" fillId="2" borderId="16" xfId="0" applyNumberFormat="1" applyFill="1" applyBorder="1" applyAlignment="1">
      <alignment/>
    </xf>
    <xf numFmtId="173" fontId="0" fillId="2" borderId="23" xfId="0" applyNumberFormat="1" applyFill="1" applyBorder="1" applyAlignment="1">
      <alignment/>
    </xf>
    <xf numFmtId="164" fontId="6" fillId="2" borderId="24" xfId="0" applyNumberFormat="1" applyFont="1" applyFill="1" applyBorder="1" applyAlignment="1">
      <alignment vertical="center"/>
    </xf>
    <xf numFmtId="165" fontId="0" fillId="2" borderId="22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70" fontId="0" fillId="2" borderId="17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/>
    </xf>
    <xf numFmtId="164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6" fillId="0" borderId="8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" borderId="9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4" borderId="12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2" fontId="0" fillId="3" borderId="25" xfId="0" applyNumberFormat="1" applyFill="1" applyBorder="1" applyAlignment="1" applyProtection="1">
      <alignment/>
      <protection locked="0"/>
    </xf>
    <xf numFmtId="2" fontId="0" fillId="3" borderId="9" xfId="0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right"/>
      <protection locked="0"/>
    </xf>
    <xf numFmtId="11" fontId="0" fillId="0" borderId="9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95"/>
          <c:w val="0.9492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d-C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Inyo!$A$28:$A$50</c:f>
              <c:numCache>
                <c:ptCount val="23"/>
                <c:pt idx="0">
                  <c:v>-0.5</c:v>
                </c:pt>
                <c:pt idx="1">
                  <c:v>-0.45</c:v>
                </c:pt>
                <c:pt idx="2">
                  <c:v>-0.4</c:v>
                </c:pt>
                <c:pt idx="3">
                  <c:v>-0.35</c:v>
                </c:pt>
                <c:pt idx="4">
                  <c:v>-0.3</c:v>
                </c:pt>
                <c:pt idx="5">
                  <c:v>-0.25</c:v>
                </c:pt>
                <c:pt idx="6">
                  <c:v>-0.2</c:v>
                </c:pt>
                <c:pt idx="7">
                  <c:v>-0.15</c:v>
                </c:pt>
                <c:pt idx="8">
                  <c:v>-0.1</c:v>
                </c:pt>
                <c:pt idx="9">
                  <c:v>-0.05</c:v>
                </c:pt>
                <c:pt idx="10">
                  <c:v>-0.0005</c:v>
                </c:pt>
                <c:pt idx="11">
                  <c:v>0</c:v>
                </c:pt>
                <c:pt idx="12">
                  <c:v>0.0005</c:v>
                </c:pt>
                <c:pt idx="13">
                  <c:v>0.05</c:v>
                </c:pt>
                <c:pt idx="14">
                  <c:v>0.1</c:v>
                </c:pt>
                <c:pt idx="15">
                  <c:v>0.15</c:v>
                </c:pt>
                <c:pt idx="16">
                  <c:v>0.2</c:v>
                </c:pt>
                <c:pt idx="17">
                  <c:v>0.25</c:v>
                </c:pt>
                <c:pt idx="18">
                  <c:v>0.3</c:v>
                </c:pt>
                <c:pt idx="19">
                  <c:v>0.35</c:v>
                </c:pt>
                <c:pt idx="20">
                  <c:v>0.4</c:v>
                </c:pt>
                <c:pt idx="21">
                  <c:v>0.45</c:v>
                </c:pt>
                <c:pt idx="22">
                  <c:v>0.5</c:v>
                </c:pt>
              </c:numCache>
            </c:numRef>
          </c:xVal>
          <c:yVal>
            <c:numRef>
              <c:f>Inyo!$J$28:$J$50</c:f>
              <c:numCache>
                <c:ptCount val="23"/>
                <c:pt idx="0">
                  <c:v>-101.34460325456423</c:v>
                </c:pt>
                <c:pt idx="1">
                  <c:v>-81.07660854794791</c:v>
                </c:pt>
                <c:pt idx="2">
                  <c:v>-65.55184210512128</c:v>
                </c:pt>
                <c:pt idx="3">
                  <c:v>-53.11992238471167</c:v>
                </c:pt>
                <c:pt idx="4">
                  <c:v>-42.79124680203929</c:v>
                </c:pt>
                <c:pt idx="5">
                  <c:v>-33.93150406303447</c:v>
                </c:pt>
                <c:pt idx="6">
                  <c:v>-26.110073354879983</c:v>
                </c:pt>
                <c:pt idx="7">
                  <c:v>-19.018484763010132</c:v>
                </c:pt>
                <c:pt idx="8">
                  <c:v>-12.423381151183209</c:v>
                </c:pt>
                <c:pt idx="9">
                  <c:v>-6.137451883371649</c:v>
                </c:pt>
                <c:pt idx="10">
                  <c:v>-0.06113100851274783</c:v>
                </c:pt>
                <c:pt idx="11">
                  <c:v>0</c:v>
                </c:pt>
                <c:pt idx="12">
                  <c:v>0.06113100851274783</c:v>
                </c:pt>
                <c:pt idx="13">
                  <c:v>6.137451883371649</c:v>
                </c:pt>
                <c:pt idx="14">
                  <c:v>12.423381151183209</c:v>
                </c:pt>
                <c:pt idx="15">
                  <c:v>19.018484763010132</c:v>
                </c:pt>
                <c:pt idx="16">
                  <c:v>26.110073354879983</c:v>
                </c:pt>
                <c:pt idx="17">
                  <c:v>33.93150406303447</c:v>
                </c:pt>
                <c:pt idx="18">
                  <c:v>42.79124680203929</c:v>
                </c:pt>
                <c:pt idx="19">
                  <c:v>53.11992238471167</c:v>
                </c:pt>
                <c:pt idx="20">
                  <c:v>65.55184210512128</c:v>
                </c:pt>
                <c:pt idx="21">
                  <c:v>81.07660854794791</c:v>
                </c:pt>
                <c:pt idx="22">
                  <c:v>101.34460325456423</c:v>
                </c:pt>
              </c:numCache>
            </c:numRef>
          </c:yVal>
          <c:smooth val="0"/>
        </c:ser>
        <c:axId val="53380962"/>
        <c:axId val="10666611"/>
      </c:scatterChart>
      <c:valAx>
        <c:axId val="53380962"/>
        <c:scaling>
          <c:orientation val="minMax"/>
          <c:max val="0.6"/>
          <c:min val="-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66611"/>
        <c:crossesAt val="-150"/>
        <c:crossBetween val="midCat"/>
        <c:dispUnits/>
      </c:valAx>
      <c:valAx>
        <c:axId val="10666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- 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80962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d-C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Yuma!$A$22:$A$42</c:f>
              <c:numCache>
                <c:ptCount val="21"/>
                <c:pt idx="0">
                  <c:v>-0.5000000000000001</c:v>
                </c:pt>
                <c:pt idx="1">
                  <c:v>-0.4500000000000001</c:v>
                </c:pt>
                <c:pt idx="2">
                  <c:v>-0.40000000000000013</c:v>
                </c:pt>
                <c:pt idx="3">
                  <c:v>-0.35000000000000014</c:v>
                </c:pt>
                <c:pt idx="4">
                  <c:v>-0.30000000000000016</c:v>
                </c:pt>
                <c:pt idx="5">
                  <c:v>-0.25000000000000017</c:v>
                </c:pt>
                <c:pt idx="6">
                  <c:v>-0.20000000000000018</c:v>
                </c:pt>
                <c:pt idx="7">
                  <c:v>-0.15000000000000013</c:v>
                </c:pt>
                <c:pt idx="8">
                  <c:v>-0.10000000000000009</c:v>
                </c:pt>
                <c:pt idx="9">
                  <c:v>-0.050000000000000044</c:v>
                </c:pt>
                <c:pt idx="10">
                  <c:v>0</c:v>
                </c:pt>
                <c:pt idx="11">
                  <c:v>0.050000000000000044</c:v>
                </c:pt>
                <c:pt idx="12">
                  <c:v>0.10000000000000009</c:v>
                </c:pt>
                <c:pt idx="13">
                  <c:v>0.15000000000000013</c:v>
                </c:pt>
                <c:pt idx="14">
                  <c:v>0.20000000000000018</c:v>
                </c:pt>
                <c:pt idx="15">
                  <c:v>0.2500000000000002</c:v>
                </c:pt>
                <c:pt idx="16">
                  <c:v>0.30000000000000016</c:v>
                </c:pt>
                <c:pt idx="17">
                  <c:v>0.3500000000000002</c:v>
                </c:pt>
                <c:pt idx="18">
                  <c:v>0.40000000000000024</c:v>
                </c:pt>
                <c:pt idx="19">
                  <c:v>0.4500000000000003</c:v>
                </c:pt>
                <c:pt idx="20">
                  <c:v>0.5000000000000003</c:v>
                </c:pt>
              </c:numCache>
            </c:numRef>
          </c:xVal>
          <c:yVal>
            <c:numRef>
              <c:f>Yuma!$I$22:$I$42</c:f>
              <c:numCache>
                <c:ptCount val="21"/>
                <c:pt idx="0">
                  <c:v>-77.98282194397531</c:v>
                </c:pt>
                <c:pt idx="1">
                  <c:v>-59.130940153739125</c:v>
                </c:pt>
                <c:pt idx="2">
                  <c:v>-46.069014951384226</c:v>
                </c:pt>
                <c:pt idx="3">
                  <c:v>-36.349068498886005</c:v>
                </c:pt>
                <c:pt idx="4">
                  <c:v>-28.71108677512313</c:v>
                </c:pt>
                <c:pt idx="5">
                  <c:v>-22.435954547060856</c:v>
                </c:pt>
                <c:pt idx="6">
                  <c:v>-17.078590869178324</c:v>
                </c:pt>
                <c:pt idx="7">
                  <c:v>-12.343501903632156</c:v>
                </c:pt>
                <c:pt idx="8">
                  <c:v>-8.020819694784112</c:v>
                </c:pt>
                <c:pt idx="9">
                  <c:v>-3.950445585319807</c:v>
                </c:pt>
                <c:pt idx="10">
                  <c:v>0</c:v>
                </c:pt>
                <c:pt idx="11">
                  <c:v>3.950445585319807</c:v>
                </c:pt>
                <c:pt idx="12">
                  <c:v>8.020819694784112</c:v>
                </c:pt>
                <c:pt idx="13">
                  <c:v>12.343501903632156</c:v>
                </c:pt>
                <c:pt idx="14">
                  <c:v>17.078590869178324</c:v>
                </c:pt>
                <c:pt idx="15">
                  <c:v>22.435954547060863</c:v>
                </c:pt>
                <c:pt idx="16">
                  <c:v>28.71108677512313</c:v>
                </c:pt>
                <c:pt idx="17">
                  <c:v>36.34906849888602</c:v>
                </c:pt>
                <c:pt idx="18">
                  <c:v>46.06901495138425</c:v>
                </c:pt>
                <c:pt idx="19">
                  <c:v>59.13094015373919</c:v>
                </c:pt>
                <c:pt idx="20">
                  <c:v>77.98282194397544</c:v>
                </c:pt>
              </c:numCache>
            </c:numRef>
          </c:yVal>
          <c:smooth val="0"/>
        </c:ser>
        <c:axId val="28890636"/>
        <c:axId val="58689133"/>
      </c:scatterChart>
      <c:valAx>
        <c:axId val="28890636"/>
        <c:scaling>
          <c:orientation val="minMax"/>
          <c:max val="0.6"/>
          <c:min val="-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89133"/>
        <c:crossesAt val="-150"/>
        <c:crossBetween val="midCat"/>
        <c:dispUnits/>
      </c:valAx>
      <c:valAx>
        <c:axId val="58689133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- 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90636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d-C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Napa!$A$22:$A$42</c:f>
              <c:numCache>
                <c:ptCount val="21"/>
                <c:pt idx="0">
                  <c:v>-0.5500000000000002</c:v>
                </c:pt>
                <c:pt idx="1">
                  <c:v>-0.5000000000000002</c:v>
                </c:pt>
                <c:pt idx="2">
                  <c:v>-0.4500000000000002</c:v>
                </c:pt>
                <c:pt idx="3">
                  <c:v>-0.4000000000000002</c:v>
                </c:pt>
                <c:pt idx="4">
                  <c:v>-0.3500000000000002</c:v>
                </c:pt>
                <c:pt idx="5">
                  <c:v>-0.3000000000000002</c:v>
                </c:pt>
                <c:pt idx="6">
                  <c:v>-0.2500000000000002</c:v>
                </c:pt>
                <c:pt idx="7">
                  <c:v>-0.20000000000000018</c:v>
                </c:pt>
                <c:pt idx="8">
                  <c:v>-0.15000000000000013</c:v>
                </c:pt>
                <c:pt idx="9">
                  <c:v>-0.10000000000000009</c:v>
                </c:pt>
                <c:pt idx="10">
                  <c:v>-0.050000000000000044</c:v>
                </c:pt>
                <c:pt idx="11">
                  <c:v>0</c:v>
                </c:pt>
                <c:pt idx="12">
                  <c:v>0.050000000000000044</c:v>
                </c:pt>
                <c:pt idx="13">
                  <c:v>0.10000000000000009</c:v>
                </c:pt>
                <c:pt idx="14">
                  <c:v>0.15000000000000013</c:v>
                </c:pt>
                <c:pt idx="15">
                  <c:v>0.20000000000000018</c:v>
                </c:pt>
                <c:pt idx="16">
                  <c:v>0.2500000000000002</c:v>
                </c:pt>
                <c:pt idx="17">
                  <c:v>0.30000000000000027</c:v>
                </c:pt>
                <c:pt idx="18">
                  <c:v>0.3500000000000003</c:v>
                </c:pt>
                <c:pt idx="19">
                  <c:v>0.40000000000000036</c:v>
                </c:pt>
                <c:pt idx="20">
                  <c:v>0.4500000000000004</c:v>
                </c:pt>
              </c:numCache>
            </c:numRef>
          </c:xVal>
          <c:yVal>
            <c:numRef>
              <c:f>Napa!$I$22:$I$42</c:f>
              <c:numCache>
                <c:ptCount val="21"/>
                <c:pt idx="0">
                  <c:v>-27.01568057616191</c:v>
                </c:pt>
                <c:pt idx="1">
                  <c:v>-21.16694060224051</c:v>
                </c:pt>
                <c:pt idx="2">
                  <c:v>-16.933745875493656</c:v>
                </c:pt>
                <c:pt idx="3">
                  <c:v>-13.691226800910684</c:v>
                </c:pt>
                <c:pt idx="4">
                  <c:v>-11.094682951084316</c:v>
                </c:pt>
                <c:pt idx="5">
                  <c:v>-8.937424887632456</c:v>
                </c:pt>
                <c:pt idx="6">
                  <c:v>-7.086969685429069</c:v>
                </c:pt>
                <c:pt idx="7">
                  <c:v>-5.453377427850324</c:v>
                </c:pt>
                <c:pt idx="8">
                  <c:v>-3.9722207635671163</c:v>
                </c:pt>
                <c:pt idx="9">
                  <c:v>-2.594760475262368</c:v>
                </c:pt>
                <c:pt idx="10">
                  <c:v>-1.2818746661636966</c:v>
                </c:pt>
                <c:pt idx="11">
                  <c:v>0</c:v>
                </c:pt>
                <c:pt idx="12">
                  <c:v>1.2818746661636966</c:v>
                </c:pt>
                <c:pt idx="13">
                  <c:v>2.594760475262368</c:v>
                </c:pt>
                <c:pt idx="14">
                  <c:v>3.9722207635671163</c:v>
                </c:pt>
                <c:pt idx="15">
                  <c:v>5.453377427850324</c:v>
                </c:pt>
                <c:pt idx="16">
                  <c:v>7.086969685429069</c:v>
                </c:pt>
                <c:pt idx="17">
                  <c:v>8.937424887632458</c:v>
                </c:pt>
                <c:pt idx="18">
                  <c:v>11.094682951084318</c:v>
                </c:pt>
                <c:pt idx="19">
                  <c:v>13.691226800910695</c:v>
                </c:pt>
                <c:pt idx="20">
                  <c:v>16.933745875493674</c:v>
                </c:pt>
              </c:numCache>
            </c:numRef>
          </c:yVal>
          <c:smooth val="0"/>
        </c:ser>
        <c:axId val="58440150"/>
        <c:axId val="56199303"/>
      </c:scatterChart>
      <c:valAx>
        <c:axId val="58440150"/>
        <c:scaling>
          <c:orientation val="minMax"/>
          <c:max val="0.6"/>
          <c:min val="-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99303"/>
        <c:crossesAt val="-150"/>
        <c:crossBetween val="midCat"/>
        <c:dispUnits/>
      </c:valAx>
      <c:valAx>
        <c:axId val="56199303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- 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440150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3" width="12.57421875" style="0" customWidth="1"/>
    <col min="4" max="4" width="12.7109375" style="0" customWidth="1"/>
    <col min="5" max="5" width="9.421875" style="0" customWidth="1"/>
    <col min="7" max="7" width="10.7109375" style="0" customWidth="1"/>
    <col min="8" max="8" width="12.28125" style="0" bestFit="1" customWidth="1"/>
    <col min="9" max="9" width="10.8515625" style="0" bestFit="1" customWidth="1"/>
    <col min="10" max="10" width="10.7109375" style="0" bestFit="1" customWidth="1"/>
    <col min="11" max="11" width="9.7109375" style="0" customWidth="1"/>
    <col min="12" max="12" width="11.28125" style="0" customWidth="1"/>
    <col min="13" max="13" width="1.8515625" style="0" customWidth="1"/>
    <col min="14" max="14" width="12.28125" style="0" bestFit="1" customWidth="1"/>
    <col min="15" max="15" width="11.28125" style="0" customWidth="1"/>
    <col min="16" max="16" width="12.00390625" style="0" bestFit="1" customWidth="1"/>
    <col min="17" max="17" width="10.8515625" style="0" bestFit="1" customWidth="1"/>
    <col min="18" max="18" width="9.140625" style="0" customWidth="1"/>
    <col min="19" max="19" width="9.57421875" style="0" bestFit="1" customWidth="1"/>
  </cols>
  <sheetData>
    <row r="1" ht="15">
      <c r="A1" s="94" t="s">
        <v>58</v>
      </c>
    </row>
    <row r="2" spans="1:17" ht="12.75">
      <c r="A2" s="95" t="s">
        <v>63</v>
      </c>
      <c r="M2" s="125"/>
      <c r="N2" s="131"/>
      <c r="O2" s="131"/>
      <c r="P2" s="131"/>
      <c r="Q2" s="125"/>
    </row>
    <row r="3" spans="13:17" ht="12.75">
      <c r="M3" s="125"/>
      <c r="N3" s="125"/>
      <c r="O3" s="125"/>
      <c r="P3" s="125"/>
      <c r="Q3" s="125"/>
    </row>
    <row r="4" spans="1:17" ht="15">
      <c r="A4" t="s">
        <v>65</v>
      </c>
      <c r="B4" s="124">
        <v>0.03125</v>
      </c>
      <c r="C4" s="79">
        <f>B4*25.4</f>
        <v>0.79375</v>
      </c>
      <c r="D4" t="s">
        <v>27</v>
      </c>
      <c r="E4" s="9">
        <f>C4/1000</f>
        <v>0.00079375</v>
      </c>
      <c r="F4" t="s">
        <v>5</v>
      </c>
      <c r="M4" s="123"/>
      <c r="N4" s="128"/>
      <c r="O4" s="128"/>
      <c r="P4" s="128"/>
      <c r="Q4" s="125"/>
    </row>
    <row r="5" spans="1:17" ht="15">
      <c r="A5" t="s">
        <v>66</v>
      </c>
      <c r="B5" s="124">
        <v>0.03125</v>
      </c>
      <c r="C5" s="79">
        <f>B5*25.4</f>
        <v>0.79375</v>
      </c>
      <c r="D5" t="s">
        <v>27</v>
      </c>
      <c r="E5" s="9">
        <f>C5/1000</f>
        <v>0.00079375</v>
      </c>
      <c r="F5" t="s">
        <v>5</v>
      </c>
      <c r="M5" s="123"/>
      <c r="N5" s="128"/>
      <c r="O5" s="128"/>
      <c r="P5" s="128"/>
      <c r="Q5" s="125"/>
    </row>
    <row r="6" spans="1:17" ht="18">
      <c r="A6" s="2" t="s">
        <v>60</v>
      </c>
      <c r="B6" s="78">
        <v>8.854E-12</v>
      </c>
      <c r="C6" s="63"/>
      <c r="M6" s="123"/>
      <c r="N6" s="129"/>
      <c r="O6" s="128"/>
      <c r="P6" s="128"/>
      <c r="Q6" s="125"/>
    </row>
    <row r="7" spans="1:17" ht="15">
      <c r="A7" t="s">
        <v>59</v>
      </c>
      <c r="B7" s="105">
        <f>645.16*B16</f>
        <v>4350.000904709627</v>
      </c>
      <c r="C7" s="80">
        <f>B7*0.000001</f>
        <v>0.004350000904709627</v>
      </c>
      <c r="D7" t="s">
        <v>2</v>
      </c>
      <c r="M7" s="123"/>
      <c r="N7" s="129"/>
      <c r="O7" s="128"/>
      <c r="P7" s="128"/>
      <c r="Q7" s="125"/>
    </row>
    <row r="8" spans="1:17" ht="12.75">
      <c r="A8" t="s">
        <v>11</v>
      </c>
      <c r="B8" s="76">
        <f>$B$9/($B$6*$C$7*1000000000000)*$C$15</f>
        <v>6.133209507779009</v>
      </c>
      <c r="C8" s="81" t="s">
        <v>12</v>
      </c>
      <c r="M8" s="123"/>
      <c r="N8" s="128"/>
      <c r="O8" s="128"/>
      <c r="P8" s="128"/>
      <c r="Q8" s="125"/>
    </row>
    <row r="9" spans="1:17" ht="12.75">
      <c r="A9" t="s">
        <v>13</v>
      </c>
      <c r="B9" s="77">
        <v>150</v>
      </c>
      <c r="C9" s="63" t="s">
        <v>62</v>
      </c>
      <c r="M9" s="123"/>
      <c r="N9" s="128"/>
      <c r="O9" s="128"/>
      <c r="P9" s="128"/>
      <c r="Q9" s="125"/>
    </row>
    <row r="10" spans="1:17" ht="13.5" thickBot="1">
      <c r="A10" t="s">
        <v>28</v>
      </c>
      <c r="B10" s="76">
        <f>-$B$6*$C$7*1000000000000000/$C$4/$C$4</f>
        <v>-61.13098425591515</v>
      </c>
      <c r="C10" s="63" t="s">
        <v>29</v>
      </c>
      <c r="D10">
        <f>B10*2</f>
        <v>-122.2619685118303</v>
      </c>
      <c r="M10" s="123"/>
      <c r="N10" s="128"/>
      <c r="O10" s="128"/>
      <c r="P10" s="128"/>
      <c r="Q10" s="125"/>
    </row>
    <row r="11" spans="1:17" ht="18" thickBot="1">
      <c r="A11" t="s">
        <v>6</v>
      </c>
      <c r="B11" s="63"/>
      <c r="C11" s="63"/>
      <c r="F11" s="151" t="s">
        <v>79</v>
      </c>
      <c r="G11" s="154"/>
      <c r="H11" s="154"/>
      <c r="I11" s="151" t="s">
        <v>78</v>
      </c>
      <c r="J11" s="152"/>
      <c r="K11" s="152"/>
      <c r="L11" s="153"/>
      <c r="M11" s="123"/>
      <c r="N11" s="128"/>
      <c r="O11" s="128"/>
      <c r="P11" s="128"/>
      <c r="Q11" s="125"/>
    </row>
    <row r="12" spans="1:17" ht="15.75" thickBot="1">
      <c r="A12" s="18" t="s">
        <v>16</v>
      </c>
      <c r="B12" s="65">
        <v>2.5</v>
      </c>
      <c r="C12" s="66"/>
      <c r="D12" s="13"/>
      <c r="F12" s="61" t="s">
        <v>35</v>
      </c>
      <c r="G12" s="96">
        <f>H41</f>
        <v>45.647298382576636</v>
      </c>
      <c r="H12" s="12" t="s">
        <v>14</v>
      </c>
      <c r="I12" s="97">
        <v>-32.188</v>
      </c>
      <c r="J12" s="13" t="s">
        <v>56</v>
      </c>
      <c r="K12" s="149" t="s">
        <v>52</v>
      </c>
      <c r="L12" s="150"/>
      <c r="M12" s="130"/>
      <c r="N12" s="128"/>
      <c r="O12" s="128"/>
      <c r="P12" s="128"/>
      <c r="Q12" s="125"/>
    </row>
    <row r="13" spans="1:17" ht="15">
      <c r="A13" s="16" t="s">
        <v>17</v>
      </c>
      <c r="B13" s="67">
        <v>3</v>
      </c>
      <c r="C13" s="68"/>
      <c r="D13" s="15"/>
      <c r="F13" s="56" t="s">
        <v>36</v>
      </c>
      <c r="G13" s="55">
        <f>H37-H41</f>
        <v>6.137451883371654</v>
      </c>
      <c r="H13" s="14" t="s">
        <v>51</v>
      </c>
      <c r="I13" s="86">
        <v>84.288</v>
      </c>
      <c r="J13" s="92" t="s">
        <v>57</v>
      </c>
      <c r="K13" s="83">
        <v>-0.5</v>
      </c>
      <c r="L13" s="132" t="s">
        <v>53</v>
      </c>
      <c r="M13" s="123"/>
      <c r="N13" s="128"/>
      <c r="O13" s="128"/>
      <c r="P13" s="128"/>
      <c r="Q13" s="125"/>
    </row>
    <row r="14" spans="1:17" ht="15">
      <c r="A14" s="16" t="s">
        <v>18</v>
      </c>
      <c r="B14" s="69">
        <v>0.166</v>
      </c>
      <c r="C14" s="70">
        <v>35</v>
      </c>
      <c r="D14" s="15" t="s">
        <v>10</v>
      </c>
      <c r="F14" s="56" t="s">
        <v>37</v>
      </c>
      <c r="G14" s="57">
        <f>B41-B37</f>
        <v>0.0001</v>
      </c>
      <c r="H14" s="14" t="s">
        <v>39</v>
      </c>
      <c r="I14" s="98">
        <f>I13-I12</f>
        <v>116.476</v>
      </c>
      <c r="J14" s="58" t="s">
        <v>40</v>
      </c>
      <c r="K14" s="86">
        <v>-58.585</v>
      </c>
      <c r="L14" s="15" t="s">
        <v>54</v>
      </c>
      <c r="M14" s="123"/>
      <c r="N14" s="125"/>
      <c r="O14" s="125"/>
      <c r="P14" s="125"/>
      <c r="Q14" s="125"/>
    </row>
    <row r="15" spans="1:17" ht="15">
      <c r="A15" s="14" t="s">
        <v>67</v>
      </c>
      <c r="B15" s="126">
        <v>0.062</v>
      </c>
      <c r="C15" s="75">
        <f>B15*0.0254</f>
        <v>0.0015748</v>
      </c>
      <c r="D15" s="15" t="s">
        <v>5</v>
      </c>
      <c r="F15" s="56" t="s">
        <v>37</v>
      </c>
      <c r="G15" s="59">
        <f>C41-C37</f>
        <v>7.144721814325339E-05</v>
      </c>
      <c r="H15" s="14" t="s">
        <v>38</v>
      </c>
      <c r="I15" s="99">
        <f>$I$14/$G$15</f>
        <v>1630238.419730532</v>
      </c>
      <c r="J15" s="14" t="s">
        <v>41</v>
      </c>
      <c r="K15" s="87">
        <f>K14-I12</f>
        <v>-26.397</v>
      </c>
      <c r="L15" s="91" t="s">
        <v>55</v>
      </c>
      <c r="M15" s="125"/>
      <c r="N15" s="125"/>
      <c r="O15" s="125"/>
      <c r="P15" s="125"/>
      <c r="Q15" s="125"/>
    </row>
    <row r="16" spans="1:12" ht="16.5">
      <c r="A16" s="40" t="s">
        <v>9</v>
      </c>
      <c r="B16" s="72">
        <f>$B$12*$B$13-$C$14*$B$14*$B$14*PI()/4</f>
        <v>6.742514887329697</v>
      </c>
      <c r="C16" s="68" t="s">
        <v>15</v>
      </c>
      <c r="D16" s="41"/>
      <c r="F16" s="16"/>
      <c r="G16" s="14"/>
      <c r="H16" s="14"/>
      <c r="I16" s="100">
        <f>$I$15*0.001</f>
        <v>1630.238419730532</v>
      </c>
      <c r="J16" s="14" t="s">
        <v>42</v>
      </c>
      <c r="K16" s="89">
        <f>K15/K13*1000</f>
        <v>52794</v>
      </c>
      <c r="L16" s="90" t="s">
        <v>61</v>
      </c>
    </row>
    <row r="17" spans="1:12" ht="12.75">
      <c r="A17" s="39"/>
      <c r="B17" s="127"/>
      <c r="D17" s="15"/>
      <c r="F17" s="16"/>
      <c r="G17" s="14"/>
      <c r="H17" s="14"/>
      <c r="I17" s="101">
        <f>$I$16/1000</f>
        <v>1.6302384197305322</v>
      </c>
      <c r="J17" s="93" t="s">
        <v>43</v>
      </c>
      <c r="K17" s="84"/>
      <c r="L17" s="15"/>
    </row>
    <row r="18" spans="1:12" ht="15">
      <c r="A18" s="64" t="s">
        <v>49</v>
      </c>
      <c r="B18" s="73">
        <v>6.129</v>
      </c>
      <c r="C18" s="68" t="s">
        <v>32</v>
      </c>
      <c r="D18" s="41" t="s">
        <v>31</v>
      </c>
      <c r="F18" s="16"/>
      <c r="G18" s="14"/>
      <c r="H18" s="14"/>
      <c r="I18" s="102">
        <f>($I$12+$I$13)/2</f>
        <v>26.049999999999997</v>
      </c>
      <c r="J18" s="14" t="s">
        <v>45</v>
      </c>
      <c r="K18" s="84"/>
      <c r="L18" s="15"/>
    </row>
    <row r="19" spans="1:12" ht="15">
      <c r="A19" s="39" t="s">
        <v>30</v>
      </c>
      <c r="B19" s="71">
        <v>4.379</v>
      </c>
      <c r="C19" s="68" t="s">
        <v>32</v>
      </c>
      <c r="D19" s="15" t="s">
        <v>50</v>
      </c>
      <c r="F19" s="16"/>
      <c r="G19" s="14"/>
      <c r="H19" s="14"/>
      <c r="I19" s="103">
        <f>$I$18/$I$16</f>
        <v>0.015979257809606705</v>
      </c>
      <c r="J19" s="15" t="s">
        <v>44</v>
      </c>
      <c r="K19" s="84"/>
      <c r="L19" s="15"/>
    </row>
    <row r="20" spans="1:12" ht="13.5" thickBot="1">
      <c r="A20" s="62" t="s">
        <v>48</v>
      </c>
      <c r="B20" s="88">
        <f>B19/B18</f>
        <v>0.7144721814325339</v>
      </c>
      <c r="C20" s="74" t="s">
        <v>47</v>
      </c>
      <c r="D20" s="42"/>
      <c r="F20" s="60"/>
      <c r="G20" s="19"/>
      <c r="H20" s="19"/>
      <c r="I20" s="104">
        <f>$I$19/25.4</f>
        <v>0.0006291046381734924</v>
      </c>
      <c r="J20" s="82" t="s">
        <v>46</v>
      </c>
      <c r="K20" s="85"/>
      <c r="L20" s="42"/>
    </row>
    <row r="21" spans="14:19" ht="15">
      <c r="N21" s="61" t="s">
        <v>64</v>
      </c>
      <c r="O21" s="110" t="s">
        <v>64</v>
      </c>
      <c r="P21" s="5" t="s">
        <v>64</v>
      </c>
      <c r="Q21" s="5" t="s">
        <v>64</v>
      </c>
      <c r="R21" s="122" t="s">
        <v>75</v>
      </c>
      <c r="S21" s="5" t="s">
        <v>29</v>
      </c>
    </row>
    <row r="22" spans="1:19" ht="15">
      <c r="A22" s="8" t="s">
        <v>23</v>
      </c>
      <c r="B22" s="8" t="s">
        <v>7</v>
      </c>
      <c r="C22" s="8" t="s">
        <v>34</v>
      </c>
      <c r="D22" s="5" t="s">
        <v>68</v>
      </c>
      <c r="E22" s="5" t="s">
        <v>69</v>
      </c>
      <c r="F22" s="5" t="s">
        <v>70</v>
      </c>
      <c r="G22" s="5" t="s">
        <v>71</v>
      </c>
      <c r="H22" s="5" t="s">
        <v>72</v>
      </c>
      <c r="I22" s="5" t="s">
        <v>73</v>
      </c>
      <c r="J22" s="8" t="s">
        <v>8</v>
      </c>
      <c r="K22" s="5"/>
      <c r="N22" s="54" t="s">
        <v>29</v>
      </c>
      <c r="O22" s="111" t="s">
        <v>29</v>
      </c>
      <c r="P22" s="5" t="s">
        <v>29</v>
      </c>
      <c r="Q22" s="5" t="s">
        <v>29</v>
      </c>
      <c r="R22" s="5" t="s">
        <v>76</v>
      </c>
      <c r="S22" s="5" t="s">
        <v>74</v>
      </c>
    </row>
    <row r="23" spans="2:17" ht="13.5" thickBot="1">
      <c r="B23" s="6"/>
      <c r="C23" s="6"/>
      <c r="D23" s="11"/>
      <c r="H23" s="3"/>
      <c r="I23" s="3"/>
      <c r="J23" s="3"/>
      <c r="L23" s="106"/>
      <c r="N23" s="60"/>
      <c r="O23" s="120" t="s">
        <v>33</v>
      </c>
      <c r="Q23" s="43" t="s">
        <v>33</v>
      </c>
    </row>
    <row r="24" spans="1:17" ht="12.75">
      <c r="A24">
        <v>-0.7</v>
      </c>
      <c r="B24" s="22">
        <f aca="true" t="shared" si="0" ref="B24:B54">A24/1000</f>
        <v>-0.0007</v>
      </c>
      <c r="C24" s="46">
        <f aca="true" t="shared" si="1" ref="C24:C54">B24*$B$20</f>
        <v>-0.0005001305270027737</v>
      </c>
      <c r="D24" s="11">
        <f aca="true" t="shared" si="2" ref="D24:D37">$D$39+A24</f>
        <v>0.09375</v>
      </c>
      <c r="E24" s="25">
        <f aca="true" t="shared" si="3" ref="E24:E54">D24/1000</f>
        <v>9.375E-05</v>
      </c>
      <c r="F24">
        <f aca="true" t="shared" si="4" ref="F24:F54">$C$4+$C$5-D24</f>
        <v>1.49375</v>
      </c>
      <c r="G24">
        <f aca="true" t="shared" si="5" ref="G24:G54">F24/1000</f>
        <v>0.0014937499999999999</v>
      </c>
      <c r="H24" s="33">
        <f aca="true" t="shared" si="6" ref="H24:H38">$B$6*$C$7/E24*1000000000000</f>
        <v>410.82568544318974</v>
      </c>
      <c r="I24" s="33">
        <f aca="true" t="shared" si="7" ref="I24:I54">$B$6*$C$7/G24*1000000000000</f>
        <v>25.78403883534664</v>
      </c>
      <c r="J24" s="33">
        <f aca="true" t="shared" si="8" ref="J24:J54">2*$B$6*$C$7*$B24/($E$4*$E$5-$B24*$B24)*1000000000000</f>
        <v>-385.04164660784306</v>
      </c>
      <c r="K24" s="25"/>
      <c r="N24" s="112">
        <f aca="true" t="shared" si="9" ref="N24:N31">$B$6*$C$7*(1/(E24*E24)+1/(G24*G24))*1000000000</f>
        <v>4399.401925956041</v>
      </c>
      <c r="O24" s="113">
        <f aca="true" t="shared" si="10" ref="O24:O31">N24*$B$20</f>
        <v>3143.2502910363037</v>
      </c>
      <c r="P24" s="3"/>
      <c r="Q24" s="6"/>
    </row>
    <row r="25" spans="1:19" ht="12.75">
      <c r="A25">
        <v>-0.65</v>
      </c>
      <c r="B25" s="22">
        <f t="shared" si="0"/>
        <v>-0.00065</v>
      </c>
      <c r="C25" s="46">
        <f t="shared" si="1"/>
        <v>-0.000464406917931147</v>
      </c>
      <c r="D25" s="11">
        <f t="shared" si="2"/>
        <v>0.14374999999999993</v>
      </c>
      <c r="E25" s="25">
        <f t="shared" si="3"/>
        <v>0.00014374999999999994</v>
      </c>
      <c r="F25">
        <f t="shared" si="4"/>
        <v>1.44375</v>
      </c>
      <c r="G25">
        <f t="shared" si="5"/>
        <v>0.0014437500000000002</v>
      </c>
      <c r="H25" s="33">
        <f t="shared" si="6"/>
        <v>267.9297948542543</v>
      </c>
      <c r="I25" s="33">
        <f t="shared" si="7"/>
        <v>26.676992561246085</v>
      </c>
      <c r="J25" s="33">
        <f t="shared" si="8"/>
        <v>-241.25280229300807</v>
      </c>
      <c r="K25" s="25"/>
      <c r="M25" s="1"/>
      <c r="N25" s="112">
        <f t="shared" si="9"/>
        <v>1882.3370130695705</v>
      </c>
      <c r="O25" s="113">
        <f t="shared" si="10"/>
        <v>1344.877431919016</v>
      </c>
      <c r="P25" s="3">
        <f aca="true" t="shared" si="11" ref="P25:P31">(J26-J24)/(A26-A24)</f>
        <v>2138.8903933511256</v>
      </c>
      <c r="Q25" s="6">
        <f aca="true" t="shared" si="12" ref="Q25:Q31">P25*$B$19/$B$18</f>
        <v>1528.177685182669</v>
      </c>
      <c r="R25" s="121">
        <f aca="true" t="shared" si="13" ref="R25:R38">(Q25-O25)/O25</f>
        <v>0.1362951365776882</v>
      </c>
      <c r="S25" s="121">
        <f aca="true" t="shared" si="14" ref="S25:S38">(O25-$O$39)/$O$39</f>
        <v>14.395932488093646</v>
      </c>
    </row>
    <row r="26" spans="1:19" ht="12.75">
      <c r="A26">
        <v>-0.6</v>
      </c>
      <c r="B26" s="22">
        <f t="shared" si="0"/>
        <v>-0.0006</v>
      </c>
      <c r="C26" s="46">
        <f t="shared" si="1"/>
        <v>-0.0004286833088595203</v>
      </c>
      <c r="D26" s="11">
        <f t="shared" si="2"/>
        <v>0.19374999999999998</v>
      </c>
      <c r="E26" s="25">
        <f t="shared" si="3"/>
        <v>0.00019374999999999997</v>
      </c>
      <c r="F26">
        <f t="shared" si="4"/>
        <v>1.3937499999999998</v>
      </c>
      <c r="G26">
        <f t="shared" si="5"/>
        <v>0.0013937499999999998</v>
      </c>
      <c r="H26" s="33">
        <f t="shared" si="6"/>
        <v>198.7866219886402</v>
      </c>
      <c r="I26" s="33">
        <f t="shared" si="7"/>
        <v>27.634014715909625</v>
      </c>
      <c r="J26" s="33">
        <f t="shared" si="8"/>
        <v>-171.15260727273053</v>
      </c>
      <c r="K26" s="25"/>
      <c r="N26" s="112">
        <f t="shared" si="9"/>
        <v>1045.82256408876</v>
      </c>
      <c r="O26" s="113">
        <f t="shared" si="10"/>
        <v>747.2111287558623</v>
      </c>
      <c r="P26" s="3">
        <f t="shared" si="11"/>
        <v>1119.0518040034012</v>
      </c>
      <c r="Q26" s="6">
        <f t="shared" si="12"/>
        <v>799.5313835423225</v>
      </c>
      <c r="R26" s="121">
        <f t="shared" si="13"/>
        <v>0.0700207113798955</v>
      </c>
      <c r="S26" s="121">
        <f t="shared" si="14"/>
        <v>7.553948352202133</v>
      </c>
    </row>
    <row r="27" spans="1:19" ht="12.75">
      <c r="A27">
        <v>-0.55</v>
      </c>
      <c r="B27" s="27">
        <f t="shared" si="0"/>
        <v>-0.00055</v>
      </c>
      <c r="C27" s="46">
        <f t="shared" si="1"/>
        <v>-0.00039295969978789366</v>
      </c>
      <c r="D27" s="11">
        <f t="shared" si="2"/>
        <v>0.2437499999999999</v>
      </c>
      <c r="E27" s="44">
        <f t="shared" si="3"/>
        <v>0.0002437499999999999</v>
      </c>
      <c r="F27" s="11">
        <f t="shared" si="4"/>
        <v>1.34375</v>
      </c>
      <c r="G27" s="11">
        <f t="shared" si="5"/>
        <v>0.00134375</v>
      </c>
      <c r="H27" s="34">
        <f t="shared" si="6"/>
        <v>158.00987901661148</v>
      </c>
      <c r="I27" s="34">
        <f t="shared" si="7"/>
        <v>28.662257123943473</v>
      </c>
      <c r="J27" s="34">
        <f t="shared" si="8"/>
        <v>-129.34762189266797</v>
      </c>
      <c r="K27" s="25"/>
      <c r="N27" s="112">
        <f t="shared" si="9"/>
        <v>669.5757093172145</v>
      </c>
      <c r="O27" s="113">
        <f t="shared" si="10"/>
        <v>478.3932176701065</v>
      </c>
      <c r="P27" s="3">
        <f t="shared" si="11"/>
        <v>698.0800401816632</v>
      </c>
      <c r="Q27" s="6">
        <f t="shared" si="12"/>
        <v>498.7587691231038</v>
      </c>
      <c r="R27" s="121">
        <f t="shared" si="13"/>
        <v>0.0425707361659151</v>
      </c>
      <c r="S27" s="121">
        <f t="shared" si="14"/>
        <v>4.4765657503087315</v>
      </c>
    </row>
    <row r="28" spans="1:19" ht="12.75">
      <c r="A28">
        <v>-0.5</v>
      </c>
      <c r="B28" s="27">
        <f t="shared" si="0"/>
        <v>-0.0005</v>
      </c>
      <c r="C28" s="46">
        <f t="shared" si="1"/>
        <v>-0.00035723609071626694</v>
      </c>
      <c r="D28" s="11">
        <f t="shared" si="2"/>
        <v>0.29374999999999996</v>
      </c>
      <c r="E28" s="44">
        <f t="shared" si="3"/>
        <v>0.00029374999999999996</v>
      </c>
      <c r="F28" s="11">
        <f t="shared" si="4"/>
        <v>1.29375</v>
      </c>
      <c r="G28" s="11">
        <f t="shared" si="5"/>
        <v>0.00129375</v>
      </c>
      <c r="H28" s="34">
        <f t="shared" si="6"/>
        <v>131.1145804605925</v>
      </c>
      <c r="I28" s="34">
        <f t="shared" si="7"/>
        <v>29.769977206028244</v>
      </c>
      <c r="J28" s="34">
        <f t="shared" si="8"/>
        <v>-101.34460325456423</v>
      </c>
      <c r="K28" s="25"/>
      <c r="N28" s="112">
        <f t="shared" si="9"/>
        <v>469.3581183517479</v>
      </c>
      <c r="O28" s="113">
        <f t="shared" si="10"/>
        <v>335.34331869184274</v>
      </c>
      <c r="P28" s="3">
        <f t="shared" si="11"/>
        <v>482.71013344720046</v>
      </c>
      <c r="Q28" s="6">
        <f t="shared" si="12"/>
        <v>344.8829620436108</v>
      </c>
      <c r="R28" s="121">
        <f t="shared" si="13"/>
        <v>0.028447393521903844</v>
      </c>
      <c r="S28" s="121">
        <f t="shared" si="14"/>
        <v>2.8389543703963174</v>
      </c>
    </row>
    <row r="29" spans="1:19" ht="12.75">
      <c r="A29">
        <v>-0.45</v>
      </c>
      <c r="B29" s="27">
        <f t="shared" si="0"/>
        <v>-0.00045</v>
      </c>
      <c r="C29" s="46">
        <f t="shared" si="1"/>
        <v>-0.0003215124816446402</v>
      </c>
      <c r="D29" s="11">
        <f t="shared" si="2"/>
        <v>0.34374999999999994</v>
      </c>
      <c r="E29" s="44">
        <f t="shared" si="3"/>
        <v>0.0003437499999999999</v>
      </c>
      <c r="F29" s="11">
        <f t="shared" si="4"/>
        <v>1.24375</v>
      </c>
      <c r="G29" s="11">
        <f t="shared" si="5"/>
        <v>0.0012437499999999998</v>
      </c>
      <c r="H29" s="34">
        <f t="shared" si="6"/>
        <v>112.0433687572336</v>
      </c>
      <c r="I29" s="34">
        <f t="shared" si="7"/>
        <v>30.96676020928566</v>
      </c>
      <c r="J29" s="34">
        <f t="shared" si="8"/>
        <v>-81.07660854794791</v>
      </c>
      <c r="N29" s="112">
        <f t="shared" si="9"/>
        <v>350.84224313129573</v>
      </c>
      <c r="O29" s="113">
        <f t="shared" si="10"/>
        <v>250.66702278870028</v>
      </c>
      <c r="P29" s="3">
        <f t="shared" si="11"/>
        <v>357.9276114944296</v>
      </c>
      <c r="Q29" s="6">
        <f t="shared" si="12"/>
        <v>255.72932137936158</v>
      </c>
      <c r="R29" s="121">
        <f t="shared" si="13"/>
        <v>0.020195311430848097</v>
      </c>
      <c r="S29" s="121">
        <f t="shared" si="14"/>
        <v>1.8695942606007323</v>
      </c>
    </row>
    <row r="30" spans="1:19" ht="12.75">
      <c r="A30">
        <v>-0.4</v>
      </c>
      <c r="B30" s="27">
        <f t="shared" si="0"/>
        <v>-0.0004</v>
      </c>
      <c r="C30" s="46">
        <f t="shared" si="1"/>
        <v>-0.00028578887257301355</v>
      </c>
      <c r="D30" s="11">
        <f t="shared" si="2"/>
        <v>0.39374999999999993</v>
      </c>
      <c r="E30" s="44">
        <f t="shared" si="3"/>
        <v>0.00039374999999999995</v>
      </c>
      <c r="F30" s="11">
        <f t="shared" si="4"/>
        <v>1.19375</v>
      </c>
      <c r="G30" s="11">
        <f t="shared" si="5"/>
        <v>0.0011937500000000001</v>
      </c>
      <c r="H30" s="34">
        <f t="shared" si="6"/>
        <v>97.81563939123566</v>
      </c>
      <c r="I30" s="34">
        <f t="shared" si="7"/>
        <v>32.263797286114375</v>
      </c>
      <c r="J30" s="34">
        <f t="shared" si="8"/>
        <v>-65.55184210512128</v>
      </c>
      <c r="N30" s="112">
        <f t="shared" si="9"/>
        <v>275.44793621209965</v>
      </c>
      <c r="O30" s="113">
        <f t="shared" si="10"/>
        <v>196.79988785654828</v>
      </c>
      <c r="P30" s="3">
        <f t="shared" si="11"/>
        <v>279.5668616323623</v>
      </c>
      <c r="Q30" s="6">
        <f t="shared" si="12"/>
        <v>199.74274548672125</v>
      </c>
      <c r="R30" s="121">
        <f t="shared" si="13"/>
        <v>0.014953553389817372</v>
      </c>
      <c r="S30" s="121">
        <f t="shared" si="14"/>
        <v>1.2529322860153913</v>
      </c>
    </row>
    <row r="31" spans="1:19" ht="12.75">
      <c r="A31">
        <v>-0.35</v>
      </c>
      <c r="B31" s="27">
        <f t="shared" si="0"/>
        <v>-0.00035</v>
      </c>
      <c r="C31" s="46">
        <f t="shared" si="1"/>
        <v>-0.00025006526350138683</v>
      </c>
      <c r="D31" s="11">
        <f t="shared" si="2"/>
        <v>0.44375</v>
      </c>
      <c r="E31" s="44">
        <f t="shared" si="3"/>
        <v>0.00044374999999999997</v>
      </c>
      <c r="F31" s="11">
        <f t="shared" si="4"/>
        <v>1.1437499999999998</v>
      </c>
      <c r="G31" s="11">
        <f t="shared" si="5"/>
        <v>0.0011437499999999998</v>
      </c>
      <c r="H31" s="34">
        <f t="shared" si="6"/>
        <v>86.79415889644854</v>
      </c>
      <c r="I31" s="34">
        <f t="shared" si="7"/>
        <v>33.67423651173687</v>
      </c>
      <c r="J31" s="34">
        <f t="shared" si="8"/>
        <v>-53.11992238471167</v>
      </c>
      <c r="N31" s="112">
        <f t="shared" si="9"/>
        <v>225.0344261726579</v>
      </c>
      <c r="O31" s="113">
        <f t="shared" si="10"/>
        <v>160.78083736499738</v>
      </c>
      <c r="P31" s="3">
        <f t="shared" si="11"/>
        <v>227.60595303081985</v>
      </c>
      <c r="Q31" s="6">
        <f t="shared" si="12"/>
        <v>162.6181217689607</v>
      </c>
      <c r="R31" s="121">
        <f t="shared" si="13"/>
        <v>0.011427259828187045</v>
      </c>
      <c r="S31" s="121">
        <f t="shared" si="14"/>
        <v>0.8405922046877816</v>
      </c>
    </row>
    <row r="32" spans="1:19" ht="12.75">
      <c r="A32">
        <v>-0.3</v>
      </c>
      <c r="B32" s="27">
        <f t="shared" si="0"/>
        <v>-0.0003</v>
      </c>
      <c r="C32" s="46">
        <f t="shared" si="1"/>
        <v>-0.00021434165442976014</v>
      </c>
      <c r="D32" s="11">
        <f t="shared" si="2"/>
        <v>0.49374999999999997</v>
      </c>
      <c r="E32" s="44">
        <f t="shared" si="3"/>
        <v>0.0004937499999999999</v>
      </c>
      <c r="F32" s="11">
        <f t="shared" si="4"/>
        <v>1.09375</v>
      </c>
      <c r="G32" s="11">
        <f t="shared" si="5"/>
        <v>0.00109375</v>
      </c>
      <c r="H32" s="34">
        <f t="shared" si="6"/>
        <v>78.00487698288414</v>
      </c>
      <c r="I32" s="34">
        <f t="shared" si="7"/>
        <v>35.21363018084483</v>
      </c>
      <c r="J32" s="34">
        <f t="shared" si="8"/>
        <v>-42.79124680203929</v>
      </c>
      <c r="N32" s="112">
        <f aca="true" t="shared" si="15" ref="N32:N38">$B$6*$C$7*(1/(E32*E32)+1/(G32*G32))*1000000000</f>
        <v>190.1798800004799</v>
      </c>
      <c r="O32" s="113">
        <f>N32*$B$20</f>
        <v>135.8782337285204</v>
      </c>
      <c r="P32" s="3">
        <f aca="true" t="shared" si="16" ref="P32:P46">(J33-J31)/(A33-A31)</f>
        <v>191.88418321677207</v>
      </c>
      <c r="Q32" s="6">
        <f aca="true" t="shared" si="17" ref="Q32:Q46">P32*$B$19/$B$18</f>
        <v>137.09591096528715</v>
      </c>
      <c r="R32" s="121">
        <f t="shared" si="13"/>
        <v>0.008961532714648177</v>
      </c>
      <c r="S32" s="121">
        <f t="shared" si="14"/>
        <v>0.5555113525108809</v>
      </c>
    </row>
    <row r="33" spans="1:19" ht="12.75">
      <c r="A33">
        <v>-0.25</v>
      </c>
      <c r="B33" s="27">
        <f t="shared" si="0"/>
        <v>-0.00025</v>
      </c>
      <c r="C33" s="46">
        <f t="shared" si="1"/>
        <v>-0.00017861804535813347</v>
      </c>
      <c r="D33" s="11">
        <f t="shared" si="2"/>
        <v>0.54375</v>
      </c>
      <c r="E33" s="44">
        <f t="shared" si="3"/>
        <v>0.00054375</v>
      </c>
      <c r="F33" s="11">
        <f t="shared" si="4"/>
        <v>1.04375</v>
      </c>
      <c r="G33" s="11">
        <f t="shared" si="5"/>
        <v>0.00104375</v>
      </c>
      <c r="H33" s="34">
        <f t="shared" si="6"/>
        <v>70.83201473158444</v>
      </c>
      <c r="I33" s="34">
        <f t="shared" si="7"/>
        <v>36.90051066854998</v>
      </c>
      <c r="J33" s="34">
        <f t="shared" si="8"/>
        <v>-33.93150406303447</v>
      </c>
      <c r="N33" s="112">
        <f t="shared" si="15"/>
        <v>165.61955689546096</v>
      </c>
      <c r="O33" s="113">
        <f aca="true" t="shared" si="18" ref="O33:O54">N33*$B$20</f>
        <v>118.33056610298965</v>
      </c>
      <c r="P33" s="3">
        <f t="shared" si="16"/>
        <v>166.8117344715931</v>
      </c>
      <c r="Q33" s="6">
        <f t="shared" si="17"/>
        <v>119.18234381646373</v>
      </c>
      <c r="R33" s="121">
        <f t="shared" si="13"/>
        <v>0.007198289854649465</v>
      </c>
      <c r="S33" s="121">
        <f t="shared" si="14"/>
        <v>0.35462858083652793</v>
      </c>
    </row>
    <row r="34" spans="1:19" ht="12.75">
      <c r="A34">
        <v>-0.2</v>
      </c>
      <c r="B34" s="27">
        <f t="shared" si="0"/>
        <v>-0.0002</v>
      </c>
      <c r="C34" s="46">
        <f t="shared" si="1"/>
        <v>-0.00014289443628650678</v>
      </c>
      <c r="D34" s="11">
        <f t="shared" si="2"/>
        <v>0.59375</v>
      </c>
      <c r="E34" s="44">
        <f t="shared" si="3"/>
        <v>0.00059375</v>
      </c>
      <c r="F34" s="11">
        <f t="shared" si="4"/>
        <v>0.9937499999999999</v>
      </c>
      <c r="G34" s="11">
        <f t="shared" si="5"/>
        <v>0.0009937499999999998</v>
      </c>
      <c r="H34" s="34">
        <f t="shared" si="6"/>
        <v>64.86721349102997</v>
      </c>
      <c r="I34" s="34">
        <f t="shared" si="7"/>
        <v>38.75714013614998</v>
      </c>
      <c r="J34" s="34">
        <f t="shared" si="8"/>
        <v>-26.110073354879983</v>
      </c>
      <c r="N34" s="112">
        <f t="shared" si="15"/>
        <v>148.2509395088568</v>
      </c>
      <c r="O34" s="113">
        <f t="shared" si="18"/>
        <v>105.92117215031553</v>
      </c>
      <c r="P34" s="3">
        <f t="shared" si="16"/>
        <v>149.13019300024334</v>
      </c>
      <c r="Q34" s="6">
        <f t="shared" si="17"/>
        <v>106.54937431033865</v>
      </c>
      <c r="R34" s="121">
        <f t="shared" si="13"/>
        <v>0.005930845998679315</v>
      </c>
      <c r="S34" s="121">
        <f t="shared" si="14"/>
        <v>0.21256790900198638</v>
      </c>
    </row>
    <row r="35" spans="1:19" ht="12.75">
      <c r="A35">
        <v>-0.15</v>
      </c>
      <c r="B35" s="27">
        <f t="shared" si="0"/>
        <v>-0.00015</v>
      </c>
      <c r="C35" s="46">
        <f t="shared" si="1"/>
        <v>-0.00010717082721488007</v>
      </c>
      <c r="D35" s="11">
        <f t="shared" si="2"/>
        <v>0.6437499999999999</v>
      </c>
      <c r="E35" s="44">
        <f t="shared" si="3"/>
        <v>0.0006437499999999999</v>
      </c>
      <c r="F35" s="11">
        <f t="shared" si="4"/>
        <v>0.94375</v>
      </c>
      <c r="G35" s="11">
        <f t="shared" si="5"/>
        <v>0.0009437499999999999</v>
      </c>
      <c r="H35" s="34">
        <f t="shared" si="6"/>
        <v>59.828983316969385</v>
      </c>
      <c r="I35" s="34">
        <f t="shared" si="7"/>
        <v>40.81049855395925</v>
      </c>
      <c r="J35" s="34">
        <f t="shared" si="8"/>
        <v>-19.018484763010132</v>
      </c>
      <c r="N35" s="112">
        <f t="shared" si="15"/>
        <v>136.1811388868533</v>
      </c>
      <c r="O35" s="113">
        <f t="shared" si="18"/>
        <v>97.29763537045694</v>
      </c>
      <c r="P35" s="3">
        <f t="shared" si="16"/>
        <v>136.86692203696774</v>
      </c>
      <c r="Q35" s="6">
        <f t="shared" si="17"/>
        <v>97.78760835370888</v>
      </c>
      <c r="R35" s="121">
        <f t="shared" si="13"/>
        <v>0.005035815941326614</v>
      </c>
      <c r="S35" s="121">
        <f t="shared" si="14"/>
        <v>0.11384709852496887</v>
      </c>
    </row>
    <row r="36" spans="1:19" ht="12.75">
      <c r="A36">
        <v>-0.1</v>
      </c>
      <c r="B36" s="27">
        <f t="shared" si="0"/>
        <v>-0.0001</v>
      </c>
      <c r="C36" s="46">
        <f t="shared" si="1"/>
        <v>-7.144721814325339E-05</v>
      </c>
      <c r="D36" s="11">
        <f t="shared" si="2"/>
        <v>0.69375</v>
      </c>
      <c r="E36" s="44">
        <f t="shared" si="3"/>
        <v>0.00069375</v>
      </c>
      <c r="F36" s="11">
        <f t="shared" si="4"/>
        <v>0.8937499999999999</v>
      </c>
      <c r="G36" s="11">
        <f t="shared" si="5"/>
        <v>0.0008937499999999999</v>
      </c>
      <c r="H36" s="34">
        <f t="shared" si="6"/>
        <v>55.51698451934997</v>
      </c>
      <c r="I36" s="34">
        <f t="shared" si="7"/>
        <v>43.09360336816676</v>
      </c>
      <c r="J36" s="34">
        <f t="shared" si="8"/>
        <v>-12.423381151183209</v>
      </c>
      <c r="N36" s="112">
        <f t="shared" si="15"/>
        <v>128.24110134324758</v>
      </c>
      <c r="O36" s="113">
        <f t="shared" si="18"/>
        <v>91.62469942602075</v>
      </c>
      <c r="P36" s="3">
        <f t="shared" si="16"/>
        <v>128.81032879638482</v>
      </c>
      <c r="Q36" s="6">
        <f t="shared" si="17"/>
        <v>92.031396606195</v>
      </c>
      <c r="R36" s="121">
        <f t="shared" si="13"/>
        <v>0.0044387286694743495</v>
      </c>
      <c r="S36" s="121">
        <f t="shared" si="14"/>
        <v>0.04890427419249938</v>
      </c>
    </row>
    <row r="37" spans="1:19" ht="12.75">
      <c r="A37" s="49">
        <v>-0.05</v>
      </c>
      <c r="B37" s="50">
        <f t="shared" si="0"/>
        <v>-5E-05</v>
      </c>
      <c r="C37" s="51">
        <f t="shared" si="1"/>
        <v>-3.5723609071626694E-05</v>
      </c>
      <c r="D37" s="49">
        <f t="shared" si="2"/>
        <v>0.7437499999999999</v>
      </c>
      <c r="E37" s="52">
        <f t="shared" si="3"/>
        <v>0.0007437499999999999</v>
      </c>
      <c r="F37" s="49">
        <f t="shared" si="4"/>
        <v>0.84375</v>
      </c>
      <c r="G37" s="49">
        <f t="shared" si="5"/>
        <v>0.00084375</v>
      </c>
      <c r="H37" s="53">
        <f t="shared" si="6"/>
        <v>51.78475026594829</v>
      </c>
      <c r="I37" s="53">
        <f t="shared" si="7"/>
        <v>45.647298382576636</v>
      </c>
      <c r="J37" s="53">
        <f t="shared" si="8"/>
        <v>-6.137451883371649</v>
      </c>
      <c r="K37" s="33">
        <f>($H$39-H37)*2</f>
        <v>-6.524063025631278</v>
      </c>
      <c r="L37" s="33">
        <f>I37-$I$37</f>
        <v>0</v>
      </c>
      <c r="N37" s="114">
        <f t="shared" si="15"/>
        <v>123.72705676618381</v>
      </c>
      <c r="O37" s="115">
        <f t="shared" si="18"/>
        <v>88.39954014996229</v>
      </c>
      <c r="P37" s="109">
        <f t="shared" si="16"/>
        <v>124.2437200268388</v>
      </c>
      <c r="Q37" s="108">
        <f t="shared" si="17"/>
        <v>88.7686816768685</v>
      </c>
      <c r="R37" s="121">
        <f t="shared" si="13"/>
        <v>0.0041758308502508916</v>
      </c>
      <c r="S37" s="121">
        <f t="shared" si="14"/>
        <v>0.011983188821401357</v>
      </c>
    </row>
    <row r="38" spans="1:19" ht="12.75">
      <c r="A38">
        <v>-0.0005</v>
      </c>
      <c r="B38" s="44">
        <f t="shared" si="0"/>
        <v>-5E-07</v>
      </c>
      <c r="C38" s="48">
        <f t="shared" si="1"/>
        <v>-3.5723609071626693E-07</v>
      </c>
      <c r="D38" s="11">
        <f>$D$39+A38</f>
        <v>0.79325</v>
      </c>
      <c r="E38" s="44">
        <f t="shared" si="3"/>
        <v>0.00079325</v>
      </c>
      <c r="F38" s="11">
        <f t="shared" si="4"/>
        <v>0.7942499999999999</v>
      </c>
      <c r="G38" s="11">
        <f t="shared" si="5"/>
        <v>0.0007942499999999999</v>
      </c>
      <c r="H38" s="34">
        <f t="shared" si="6"/>
        <v>48.553303511249965</v>
      </c>
      <c r="I38" s="34">
        <f t="shared" si="7"/>
        <v>48.492172502737226</v>
      </c>
      <c r="J38" s="34">
        <f t="shared" si="8"/>
        <v>-0.06113100851274783</v>
      </c>
      <c r="K38" s="33">
        <f>($H$39-H38)*2</f>
        <v>-0.06116951623462796</v>
      </c>
      <c r="L38" s="33"/>
      <c r="N38" s="112">
        <f t="shared" si="15"/>
        <v>122.26211405286494</v>
      </c>
      <c r="O38" s="113">
        <f t="shared" si="18"/>
        <v>87.35287933390367</v>
      </c>
      <c r="P38" s="3">
        <f t="shared" si="16"/>
        <v>122.74903766743297</v>
      </c>
      <c r="Q38" s="6">
        <f t="shared" si="17"/>
        <v>87.7007727109951</v>
      </c>
      <c r="R38" s="121">
        <f t="shared" si="13"/>
        <v>0.003982620604429217</v>
      </c>
      <c r="S38" s="121">
        <f t="shared" si="14"/>
        <v>1.1904031679186375E-06</v>
      </c>
    </row>
    <row r="39" spans="1:19" ht="12.75">
      <c r="A39" s="9">
        <v>0</v>
      </c>
      <c r="B39" s="23">
        <f t="shared" si="0"/>
        <v>0</v>
      </c>
      <c r="C39" s="47">
        <f t="shared" si="1"/>
        <v>0</v>
      </c>
      <c r="D39" s="9">
        <f>C4</f>
        <v>0.79375</v>
      </c>
      <c r="E39" s="45">
        <f t="shared" si="3"/>
        <v>0.00079375</v>
      </c>
      <c r="F39" s="9">
        <f t="shared" si="4"/>
        <v>0.79375</v>
      </c>
      <c r="G39" s="9">
        <f t="shared" si="5"/>
        <v>0.00079375</v>
      </c>
      <c r="H39" s="35">
        <f>$B$6*$C$7/$E$39*1000000000000</f>
        <v>48.52271875313265</v>
      </c>
      <c r="I39" s="35">
        <f t="shared" si="7"/>
        <v>48.52271875313265</v>
      </c>
      <c r="J39" s="35">
        <f t="shared" si="8"/>
        <v>0</v>
      </c>
      <c r="K39" s="33">
        <f>($H$39-H39)*2</f>
        <v>0</v>
      </c>
      <c r="L39" s="33">
        <f>I39-$I$37</f>
        <v>2.8754203705560144</v>
      </c>
      <c r="N39" s="116">
        <f>$B$6*$C$7*(1/(E39*E39)+1/(G39*G39))*1000000000</f>
        <v>122.2619685118303</v>
      </c>
      <c r="O39" s="117">
        <f t="shared" si="18"/>
        <v>87.35277534888317</v>
      </c>
      <c r="P39" s="10">
        <f t="shared" si="16"/>
        <v>122.26201702549567</v>
      </c>
      <c r="Q39" s="107">
        <f t="shared" si="17"/>
        <v>87.35281001054747</v>
      </c>
      <c r="R39" s="121">
        <f>(Q39-O39)/O39</f>
        <v>3.9680095066243065E-07</v>
      </c>
      <c r="S39" s="121">
        <f>(O39-$O$39)/$O$39</f>
        <v>0</v>
      </c>
    </row>
    <row r="40" spans="1:19" ht="12.75">
      <c r="A40" s="11">
        <v>0.0005</v>
      </c>
      <c r="B40" s="44">
        <f t="shared" si="0"/>
        <v>5E-07</v>
      </c>
      <c r="C40" s="48">
        <f t="shared" si="1"/>
        <v>3.5723609071626693E-07</v>
      </c>
      <c r="D40" s="11">
        <f aca="true" t="shared" si="19" ref="D40:D54">$D$39+A40</f>
        <v>0.7942499999999999</v>
      </c>
      <c r="E40" s="44">
        <f t="shared" si="3"/>
        <v>0.0007942499999999999</v>
      </c>
      <c r="F40" s="11">
        <f t="shared" si="4"/>
        <v>0.79325</v>
      </c>
      <c r="G40" s="11">
        <f t="shared" si="5"/>
        <v>0.00079325</v>
      </c>
      <c r="H40" s="34">
        <f aca="true" t="shared" si="20" ref="H40:H54">$B$6*$C$7/E40*1000000000000</f>
        <v>48.492172502737226</v>
      </c>
      <c r="I40" s="34">
        <f t="shared" si="7"/>
        <v>48.553303511249965</v>
      </c>
      <c r="J40" s="34">
        <f t="shared" si="8"/>
        <v>0.06113100851274783</v>
      </c>
      <c r="K40" s="33">
        <f>($H$39-H40)*2</f>
        <v>0.06109250079084916</v>
      </c>
      <c r="L40" s="33"/>
      <c r="N40" s="112">
        <f aca="true" t="shared" si="21" ref="N40:N54">$B$6*$C$7*(1/(E40*E40)+1/(G40*G40))*1000000000</f>
        <v>122.26211405286494</v>
      </c>
      <c r="O40" s="113">
        <f t="shared" si="18"/>
        <v>87.35287933390367</v>
      </c>
      <c r="P40" s="3">
        <f t="shared" si="16"/>
        <v>122.74903766743297</v>
      </c>
      <c r="Q40" s="6">
        <f t="shared" si="17"/>
        <v>87.7007727109951</v>
      </c>
      <c r="R40" s="121">
        <f aca="true" t="shared" si="22" ref="R40:R53">(Q40-O40)/O40</f>
        <v>0.003982620604429217</v>
      </c>
      <c r="S40" s="121">
        <f aca="true" t="shared" si="23" ref="S40:S53">(O40-$O$39)/$O$39</f>
        <v>1.1904031679186375E-06</v>
      </c>
    </row>
    <row r="41" spans="1:19" ht="12.75">
      <c r="A41" s="49">
        <v>0.05</v>
      </c>
      <c r="B41" s="50">
        <f t="shared" si="0"/>
        <v>5E-05</v>
      </c>
      <c r="C41" s="51">
        <f t="shared" si="1"/>
        <v>3.5723609071626694E-05</v>
      </c>
      <c r="D41" s="49">
        <f t="shared" si="19"/>
        <v>0.84375</v>
      </c>
      <c r="E41" s="52">
        <f t="shared" si="3"/>
        <v>0.00084375</v>
      </c>
      <c r="F41" s="49">
        <f t="shared" si="4"/>
        <v>0.7437499999999999</v>
      </c>
      <c r="G41" s="49">
        <f t="shared" si="5"/>
        <v>0.0007437499999999999</v>
      </c>
      <c r="H41" s="53">
        <f t="shared" si="20"/>
        <v>45.647298382576636</v>
      </c>
      <c r="I41" s="53">
        <f t="shared" si="7"/>
        <v>51.78475026594829</v>
      </c>
      <c r="J41" s="53">
        <f t="shared" si="8"/>
        <v>6.137451883371649</v>
      </c>
      <c r="K41" s="33">
        <f>($H$39-H41)*2</f>
        <v>5.750840741112029</v>
      </c>
      <c r="L41" s="33">
        <f>I41-$I$37</f>
        <v>6.137451883371654</v>
      </c>
      <c r="N41" s="114">
        <f t="shared" si="21"/>
        <v>123.72705676618381</v>
      </c>
      <c r="O41" s="115">
        <f t="shared" si="18"/>
        <v>88.39954014996229</v>
      </c>
      <c r="P41" s="109">
        <f t="shared" si="16"/>
        <v>124.2437200268388</v>
      </c>
      <c r="Q41" s="108">
        <f t="shared" si="17"/>
        <v>88.7686816768685</v>
      </c>
      <c r="R41" s="121">
        <f t="shared" si="22"/>
        <v>0.0041758308502508916</v>
      </c>
      <c r="S41" s="121">
        <f t="shared" si="23"/>
        <v>0.011983188821401357</v>
      </c>
    </row>
    <row r="42" spans="1:19" ht="12.75">
      <c r="A42">
        <v>0.1</v>
      </c>
      <c r="B42" s="27">
        <f t="shared" si="0"/>
        <v>0.0001</v>
      </c>
      <c r="C42" s="46">
        <f t="shared" si="1"/>
        <v>7.144721814325339E-05</v>
      </c>
      <c r="D42" s="11">
        <f t="shared" si="19"/>
        <v>0.8937499999999999</v>
      </c>
      <c r="E42" s="44">
        <f t="shared" si="3"/>
        <v>0.0008937499999999999</v>
      </c>
      <c r="F42" s="11">
        <f t="shared" si="4"/>
        <v>0.69375</v>
      </c>
      <c r="G42" s="11">
        <f t="shared" si="5"/>
        <v>0.00069375</v>
      </c>
      <c r="H42" s="34">
        <f t="shared" si="20"/>
        <v>43.09360336816676</v>
      </c>
      <c r="I42" s="34">
        <f t="shared" si="7"/>
        <v>55.51698451934997</v>
      </c>
      <c r="J42" s="34">
        <f t="shared" si="8"/>
        <v>12.423381151183209</v>
      </c>
      <c r="N42" s="112">
        <f t="shared" si="21"/>
        <v>128.24110134324758</v>
      </c>
      <c r="O42" s="113">
        <f t="shared" si="18"/>
        <v>91.62469942602075</v>
      </c>
      <c r="P42" s="3">
        <f t="shared" si="16"/>
        <v>128.81032879638482</v>
      </c>
      <c r="Q42" s="6">
        <f t="shared" si="17"/>
        <v>92.031396606195</v>
      </c>
      <c r="R42" s="121">
        <f t="shared" si="22"/>
        <v>0.0044387286694743495</v>
      </c>
      <c r="S42" s="121">
        <f t="shared" si="23"/>
        <v>0.04890427419249938</v>
      </c>
    </row>
    <row r="43" spans="1:19" ht="12.75">
      <c r="A43">
        <v>0.15</v>
      </c>
      <c r="B43" s="27">
        <f t="shared" si="0"/>
        <v>0.00015</v>
      </c>
      <c r="C43" s="46">
        <f t="shared" si="1"/>
        <v>0.00010717082721488007</v>
      </c>
      <c r="D43" s="11">
        <f t="shared" si="19"/>
        <v>0.94375</v>
      </c>
      <c r="E43" s="44">
        <f t="shared" si="3"/>
        <v>0.0009437499999999999</v>
      </c>
      <c r="F43" s="11">
        <f t="shared" si="4"/>
        <v>0.6437499999999999</v>
      </c>
      <c r="G43" s="11">
        <f t="shared" si="5"/>
        <v>0.0006437499999999999</v>
      </c>
      <c r="H43" s="34">
        <f t="shared" si="20"/>
        <v>40.81049855395925</v>
      </c>
      <c r="I43" s="34">
        <f t="shared" si="7"/>
        <v>59.828983316969385</v>
      </c>
      <c r="J43" s="34">
        <f t="shared" si="8"/>
        <v>19.018484763010132</v>
      </c>
      <c r="N43" s="112">
        <f t="shared" si="21"/>
        <v>136.1811388868533</v>
      </c>
      <c r="O43" s="113">
        <f t="shared" si="18"/>
        <v>97.29763537045694</v>
      </c>
      <c r="P43" s="3">
        <f t="shared" si="16"/>
        <v>136.86692203696774</v>
      </c>
      <c r="Q43" s="6">
        <f t="shared" si="17"/>
        <v>97.78760835370888</v>
      </c>
      <c r="R43" s="121">
        <f t="shared" si="22"/>
        <v>0.005035815941326614</v>
      </c>
      <c r="S43" s="121">
        <f t="shared" si="23"/>
        <v>0.11384709852496887</v>
      </c>
    </row>
    <row r="44" spans="1:19" ht="12.75">
      <c r="A44">
        <v>0.2</v>
      </c>
      <c r="B44" s="27">
        <f t="shared" si="0"/>
        <v>0.0002</v>
      </c>
      <c r="C44" s="46">
        <f t="shared" si="1"/>
        <v>0.00014289443628650678</v>
      </c>
      <c r="D44" s="11">
        <f t="shared" si="19"/>
        <v>0.9937499999999999</v>
      </c>
      <c r="E44" s="44">
        <f t="shared" si="3"/>
        <v>0.0009937499999999998</v>
      </c>
      <c r="F44" s="11">
        <f t="shared" si="4"/>
        <v>0.59375</v>
      </c>
      <c r="G44" s="11">
        <f t="shared" si="5"/>
        <v>0.00059375</v>
      </c>
      <c r="H44" s="34">
        <f t="shared" si="20"/>
        <v>38.75714013614998</v>
      </c>
      <c r="I44" s="34">
        <f t="shared" si="7"/>
        <v>64.86721349102997</v>
      </c>
      <c r="J44" s="34">
        <f t="shared" si="8"/>
        <v>26.110073354879983</v>
      </c>
      <c r="N44" s="112">
        <f t="shared" si="21"/>
        <v>148.2509395088568</v>
      </c>
      <c r="O44" s="113">
        <f t="shared" si="18"/>
        <v>105.92117215031553</v>
      </c>
      <c r="P44" s="3">
        <f t="shared" si="16"/>
        <v>149.13019300024334</v>
      </c>
      <c r="Q44" s="6">
        <f t="shared" si="17"/>
        <v>106.54937431033865</v>
      </c>
      <c r="R44" s="121">
        <f t="shared" si="22"/>
        <v>0.005930845998679315</v>
      </c>
      <c r="S44" s="121">
        <f t="shared" si="23"/>
        <v>0.21256790900198638</v>
      </c>
    </row>
    <row r="45" spans="1:19" ht="12.75">
      <c r="A45">
        <v>0.25</v>
      </c>
      <c r="B45" s="27">
        <f t="shared" si="0"/>
        <v>0.00025</v>
      </c>
      <c r="C45" s="46">
        <f t="shared" si="1"/>
        <v>0.00017861804535813347</v>
      </c>
      <c r="D45" s="11">
        <f t="shared" si="19"/>
        <v>1.04375</v>
      </c>
      <c r="E45" s="44">
        <f t="shared" si="3"/>
        <v>0.00104375</v>
      </c>
      <c r="F45" s="11">
        <f t="shared" si="4"/>
        <v>0.54375</v>
      </c>
      <c r="G45" s="11">
        <f t="shared" si="5"/>
        <v>0.00054375</v>
      </c>
      <c r="H45" s="34">
        <f t="shared" si="20"/>
        <v>36.90051066854998</v>
      </c>
      <c r="I45" s="34">
        <f t="shared" si="7"/>
        <v>70.83201473158444</v>
      </c>
      <c r="J45" s="34">
        <f t="shared" si="8"/>
        <v>33.93150406303447</v>
      </c>
      <c r="N45" s="112">
        <f t="shared" si="21"/>
        <v>165.61955689546096</v>
      </c>
      <c r="O45" s="113">
        <f t="shared" si="18"/>
        <v>118.33056610298965</v>
      </c>
      <c r="P45" s="3">
        <f t="shared" si="16"/>
        <v>166.8117344715931</v>
      </c>
      <c r="Q45" s="6">
        <f t="shared" si="17"/>
        <v>119.18234381646373</v>
      </c>
      <c r="R45" s="121">
        <f t="shared" si="22"/>
        <v>0.007198289854649465</v>
      </c>
      <c r="S45" s="121">
        <f t="shared" si="23"/>
        <v>0.35462858083652793</v>
      </c>
    </row>
    <row r="46" spans="1:19" ht="12.75">
      <c r="A46">
        <v>0.3</v>
      </c>
      <c r="B46" s="27">
        <f t="shared" si="0"/>
        <v>0.0003</v>
      </c>
      <c r="C46" s="46">
        <f t="shared" si="1"/>
        <v>0.00021434165442976014</v>
      </c>
      <c r="D46" s="11">
        <f t="shared" si="19"/>
        <v>1.09375</v>
      </c>
      <c r="E46" s="44">
        <f t="shared" si="3"/>
        <v>0.00109375</v>
      </c>
      <c r="F46" s="11">
        <f t="shared" si="4"/>
        <v>0.4937499999999999</v>
      </c>
      <c r="G46" s="11">
        <f t="shared" si="5"/>
        <v>0.0004937499999999999</v>
      </c>
      <c r="H46" s="34">
        <f t="shared" si="20"/>
        <v>35.21363018084483</v>
      </c>
      <c r="I46" s="34">
        <f t="shared" si="7"/>
        <v>78.00487698288414</v>
      </c>
      <c r="J46" s="34">
        <f t="shared" si="8"/>
        <v>42.79124680203929</v>
      </c>
      <c r="N46" s="112">
        <f t="shared" si="21"/>
        <v>190.1798800004799</v>
      </c>
      <c r="O46" s="113">
        <f t="shared" si="18"/>
        <v>135.8782337285204</v>
      </c>
      <c r="P46" s="3">
        <f t="shared" si="16"/>
        <v>191.88418321677207</v>
      </c>
      <c r="Q46" s="6">
        <f t="shared" si="17"/>
        <v>137.09591096528715</v>
      </c>
      <c r="R46" s="121">
        <f t="shared" si="22"/>
        <v>0.008961532714648177</v>
      </c>
      <c r="S46" s="121">
        <f t="shared" si="23"/>
        <v>0.5555113525108809</v>
      </c>
    </row>
    <row r="47" spans="1:19" ht="12.75">
      <c r="A47">
        <v>0.35</v>
      </c>
      <c r="B47" s="27">
        <f t="shared" si="0"/>
        <v>0.00035</v>
      </c>
      <c r="C47" s="46">
        <f t="shared" si="1"/>
        <v>0.00025006526350138683</v>
      </c>
      <c r="D47" s="11">
        <f t="shared" si="19"/>
        <v>1.1437499999999998</v>
      </c>
      <c r="E47" s="44">
        <f t="shared" si="3"/>
        <v>0.0011437499999999998</v>
      </c>
      <c r="F47" s="11">
        <f t="shared" si="4"/>
        <v>0.4437500000000001</v>
      </c>
      <c r="G47" s="11">
        <f t="shared" si="5"/>
        <v>0.0004437500000000001</v>
      </c>
      <c r="H47" s="34">
        <f t="shared" si="20"/>
        <v>33.67423651173687</v>
      </c>
      <c r="I47" s="34">
        <f t="shared" si="7"/>
        <v>86.79415889644852</v>
      </c>
      <c r="J47" s="34">
        <f t="shared" si="8"/>
        <v>53.11992238471167</v>
      </c>
      <c r="K47" s="3"/>
      <c r="N47" s="112">
        <f t="shared" si="21"/>
        <v>225.03442617265782</v>
      </c>
      <c r="O47" s="113">
        <f t="shared" si="18"/>
        <v>160.78083736499732</v>
      </c>
      <c r="P47" s="3">
        <f aca="true" t="shared" si="24" ref="P47:P53">(J48-J46)/(A48-A46)</f>
        <v>227.60595303081985</v>
      </c>
      <c r="Q47" s="6">
        <f aca="true" t="shared" si="25" ref="Q47:Q53">P47*$B$19/$B$18</f>
        <v>162.6181217689607</v>
      </c>
      <c r="R47" s="121">
        <f t="shared" si="22"/>
        <v>0.011427259828187404</v>
      </c>
      <c r="S47" s="121">
        <f t="shared" si="23"/>
        <v>0.8405922046877811</v>
      </c>
    </row>
    <row r="48" spans="1:19" ht="12.75">
      <c r="A48">
        <v>0.4</v>
      </c>
      <c r="B48" s="27">
        <f t="shared" si="0"/>
        <v>0.0004</v>
      </c>
      <c r="C48" s="46">
        <f t="shared" si="1"/>
        <v>0.00028578887257301355</v>
      </c>
      <c r="D48" s="11">
        <f t="shared" si="19"/>
        <v>1.19375</v>
      </c>
      <c r="E48" s="44">
        <f t="shared" si="3"/>
        <v>0.0011937500000000001</v>
      </c>
      <c r="F48" s="11">
        <f t="shared" si="4"/>
        <v>0.3937499999999998</v>
      </c>
      <c r="G48" s="11">
        <f t="shared" si="5"/>
        <v>0.00039374999999999984</v>
      </c>
      <c r="H48" s="34">
        <f t="shared" si="20"/>
        <v>32.263797286114375</v>
      </c>
      <c r="I48" s="34">
        <f t="shared" si="7"/>
        <v>97.81563939123569</v>
      </c>
      <c r="J48" s="34">
        <f t="shared" si="8"/>
        <v>65.55184210512128</v>
      </c>
      <c r="K48" s="25"/>
      <c r="N48" s="112">
        <f t="shared" si="21"/>
        <v>275.44793621209976</v>
      </c>
      <c r="O48" s="113">
        <f t="shared" si="18"/>
        <v>196.79988785654837</v>
      </c>
      <c r="P48" s="3">
        <f t="shared" si="24"/>
        <v>279.5668616323623</v>
      </c>
      <c r="Q48" s="6">
        <f t="shared" si="25"/>
        <v>199.74274548672125</v>
      </c>
      <c r="R48" s="121">
        <f t="shared" si="22"/>
        <v>0.014953553389816934</v>
      </c>
      <c r="S48" s="121">
        <f t="shared" si="23"/>
        <v>1.2529322860153922</v>
      </c>
    </row>
    <row r="49" spans="1:19" ht="12.75">
      <c r="A49">
        <v>0.45</v>
      </c>
      <c r="B49" s="27">
        <f t="shared" si="0"/>
        <v>0.00045</v>
      </c>
      <c r="C49" s="46">
        <f t="shared" si="1"/>
        <v>0.0003215124816446402</v>
      </c>
      <c r="D49" s="11">
        <f t="shared" si="19"/>
        <v>1.24375</v>
      </c>
      <c r="E49" s="44">
        <f t="shared" si="3"/>
        <v>0.0012437499999999998</v>
      </c>
      <c r="F49" s="11">
        <f t="shared" si="4"/>
        <v>0.34375</v>
      </c>
      <c r="G49" s="11">
        <f t="shared" si="5"/>
        <v>0.00034375</v>
      </c>
      <c r="H49" s="34">
        <f t="shared" si="20"/>
        <v>30.96676020928566</v>
      </c>
      <c r="I49" s="34">
        <f t="shared" si="7"/>
        <v>112.04336875723358</v>
      </c>
      <c r="J49" s="34">
        <f t="shared" si="8"/>
        <v>81.07660854794791</v>
      </c>
      <c r="K49" s="25"/>
      <c r="N49" s="112">
        <f t="shared" si="21"/>
        <v>350.8422431312957</v>
      </c>
      <c r="O49" s="113">
        <f t="shared" si="18"/>
        <v>250.66702278870025</v>
      </c>
      <c r="P49" s="3">
        <f t="shared" si="24"/>
        <v>357.9276114944296</v>
      </c>
      <c r="Q49" s="6">
        <f t="shared" si="25"/>
        <v>255.72932137936158</v>
      </c>
      <c r="R49" s="121">
        <f t="shared" si="22"/>
        <v>0.020195311430848215</v>
      </c>
      <c r="S49" s="121">
        <f t="shared" si="23"/>
        <v>1.869594260600732</v>
      </c>
    </row>
    <row r="50" spans="1:19" ht="12.75">
      <c r="A50">
        <v>0.5</v>
      </c>
      <c r="B50" s="27">
        <f t="shared" si="0"/>
        <v>0.0005</v>
      </c>
      <c r="C50" s="46">
        <f t="shared" si="1"/>
        <v>0.00035723609071626694</v>
      </c>
      <c r="D50" s="11">
        <f t="shared" si="19"/>
        <v>1.29375</v>
      </c>
      <c r="E50" s="44">
        <f t="shared" si="3"/>
        <v>0.00129375</v>
      </c>
      <c r="F50" s="11">
        <f t="shared" si="4"/>
        <v>0.29374999999999996</v>
      </c>
      <c r="G50" s="11">
        <f t="shared" si="5"/>
        <v>0.00029374999999999996</v>
      </c>
      <c r="H50" s="34">
        <f t="shared" si="20"/>
        <v>29.769977206028244</v>
      </c>
      <c r="I50" s="34">
        <f t="shared" si="7"/>
        <v>131.1145804605925</v>
      </c>
      <c r="J50" s="34">
        <f t="shared" si="8"/>
        <v>101.34460325456423</v>
      </c>
      <c r="K50" s="25"/>
      <c r="N50" s="112">
        <f t="shared" si="21"/>
        <v>469.3581183517479</v>
      </c>
      <c r="O50" s="113">
        <f t="shared" si="18"/>
        <v>335.34331869184274</v>
      </c>
      <c r="P50" s="3">
        <f t="shared" si="24"/>
        <v>482.71013344720046</v>
      </c>
      <c r="Q50" s="6">
        <f t="shared" si="25"/>
        <v>344.8829620436108</v>
      </c>
      <c r="R50" s="121">
        <f t="shared" si="22"/>
        <v>0.028447393521903844</v>
      </c>
      <c r="S50" s="121">
        <f t="shared" si="23"/>
        <v>2.8389543703963174</v>
      </c>
    </row>
    <row r="51" spans="1:19" ht="12.75">
      <c r="A51">
        <v>0.55</v>
      </c>
      <c r="B51" s="27">
        <f t="shared" si="0"/>
        <v>0.00055</v>
      </c>
      <c r="C51" s="46">
        <f t="shared" si="1"/>
        <v>0.00039295969978789366</v>
      </c>
      <c r="D51" s="11">
        <f t="shared" si="19"/>
        <v>1.34375</v>
      </c>
      <c r="E51" s="44">
        <f t="shared" si="3"/>
        <v>0.00134375</v>
      </c>
      <c r="F51" s="11">
        <f t="shared" si="4"/>
        <v>0.2437499999999999</v>
      </c>
      <c r="G51" s="11">
        <f t="shared" si="5"/>
        <v>0.0002437499999999999</v>
      </c>
      <c r="H51" s="34">
        <f t="shared" si="20"/>
        <v>28.662257123943473</v>
      </c>
      <c r="I51" s="34">
        <f t="shared" si="7"/>
        <v>158.00987901661148</v>
      </c>
      <c r="J51" s="34">
        <f t="shared" si="8"/>
        <v>129.34762189266797</v>
      </c>
      <c r="K51" s="25"/>
      <c r="N51" s="112">
        <f t="shared" si="21"/>
        <v>669.5757093172145</v>
      </c>
      <c r="O51" s="113">
        <f t="shared" si="18"/>
        <v>478.3932176701065</v>
      </c>
      <c r="P51" s="3">
        <f t="shared" si="24"/>
        <v>698.080040181665</v>
      </c>
      <c r="Q51" s="6">
        <f t="shared" si="25"/>
        <v>498.758769123105</v>
      </c>
      <c r="R51" s="121">
        <f t="shared" si="22"/>
        <v>0.04257073616591771</v>
      </c>
      <c r="S51" s="121">
        <f t="shared" si="23"/>
        <v>4.4765657503087315</v>
      </c>
    </row>
    <row r="52" spans="1:19" ht="12.75">
      <c r="A52">
        <v>0.6000000000000005</v>
      </c>
      <c r="B52" s="27">
        <f t="shared" si="0"/>
        <v>0.0006000000000000005</v>
      </c>
      <c r="C52" s="46">
        <f t="shared" si="1"/>
        <v>0.00042868330885952066</v>
      </c>
      <c r="D52" s="11">
        <f t="shared" si="19"/>
        <v>1.3937500000000005</v>
      </c>
      <c r="E52" s="44">
        <f t="shared" si="3"/>
        <v>0.0013937500000000005</v>
      </c>
      <c r="F52" s="11">
        <f t="shared" si="4"/>
        <v>0.19374999999999942</v>
      </c>
      <c r="G52" s="11">
        <f t="shared" si="5"/>
        <v>0.00019374999999999942</v>
      </c>
      <c r="H52" s="34">
        <f t="shared" si="20"/>
        <v>27.634014715909615</v>
      </c>
      <c r="I52" s="34">
        <f t="shared" si="7"/>
        <v>198.78662198864077</v>
      </c>
      <c r="J52" s="34">
        <f t="shared" si="8"/>
        <v>171.1526072727311</v>
      </c>
      <c r="K52" s="25"/>
      <c r="N52" s="112">
        <f t="shared" si="21"/>
        <v>1045.8225640887656</v>
      </c>
      <c r="O52" s="113">
        <f t="shared" si="18"/>
        <v>747.2111287558663</v>
      </c>
      <c r="P52" s="3">
        <f t="shared" si="24"/>
        <v>1119.0518040034076</v>
      </c>
      <c r="Q52" s="6">
        <f t="shared" si="25"/>
        <v>799.5313835423269</v>
      </c>
      <c r="R52" s="121">
        <f t="shared" si="22"/>
        <v>0.07002071137989574</v>
      </c>
      <c r="S52" s="121">
        <f t="shared" si="23"/>
        <v>7.553948352202179</v>
      </c>
    </row>
    <row r="53" spans="1:19" ht="12.75">
      <c r="A53">
        <v>0.6500000000000006</v>
      </c>
      <c r="B53" s="27">
        <f t="shared" si="0"/>
        <v>0.0006500000000000006</v>
      </c>
      <c r="C53" s="46">
        <f t="shared" si="1"/>
        <v>0.0004644069179311475</v>
      </c>
      <c r="D53" s="11">
        <f t="shared" si="19"/>
        <v>1.4437500000000005</v>
      </c>
      <c r="E53" s="44">
        <f t="shared" si="3"/>
        <v>0.0014437500000000006</v>
      </c>
      <c r="F53" s="11">
        <f t="shared" si="4"/>
        <v>0.14374999999999938</v>
      </c>
      <c r="G53" s="11">
        <f t="shared" si="5"/>
        <v>0.00014374999999999937</v>
      </c>
      <c r="H53" s="34">
        <f t="shared" si="20"/>
        <v>26.676992561246074</v>
      </c>
      <c r="I53" s="34">
        <f t="shared" si="7"/>
        <v>267.92979485425536</v>
      </c>
      <c r="J53" s="34">
        <f t="shared" si="8"/>
        <v>241.25280229300932</v>
      </c>
      <c r="K53" s="25"/>
      <c r="N53" s="112">
        <f t="shared" si="21"/>
        <v>1882.3370130695853</v>
      </c>
      <c r="O53" s="113">
        <f t="shared" si="18"/>
        <v>1344.8774319190265</v>
      </c>
      <c r="P53" s="3">
        <f t="shared" si="24"/>
        <v>2138.8903933511474</v>
      </c>
      <c r="Q53" s="6">
        <f t="shared" si="25"/>
        <v>1528.1776851826849</v>
      </c>
      <c r="R53" s="121">
        <f t="shared" si="22"/>
        <v>0.13629513657769118</v>
      </c>
      <c r="S53" s="121">
        <f t="shared" si="23"/>
        <v>14.395932488093765</v>
      </c>
    </row>
    <row r="54" spans="1:17" ht="13.5" thickBot="1">
      <c r="A54">
        <v>0.7000000000000006</v>
      </c>
      <c r="B54" s="27">
        <f t="shared" si="0"/>
        <v>0.0007000000000000006</v>
      </c>
      <c r="C54" s="46">
        <f t="shared" si="1"/>
        <v>0.0005001305270027742</v>
      </c>
      <c r="D54" s="11">
        <f t="shared" si="19"/>
        <v>1.4937500000000006</v>
      </c>
      <c r="E54" s="44">
        <f t="shared" si="3"/>
        <v>0.0014937500000000005</v>
      </c>
      <c r="F54" s="11">
        <f t="shared" si="4"/>
        <v>0.09374999999999933</v>
      </c>
      <c r="G54" s="11">
        <f t="shared" si="5"/>
        <v>9.374999999999934E-05</v>
      </c>
      <c r="H54" s="34">
        <f t="shared" si="20"/>
        <v>25.784038835346628</v>
      </c>
      <c r="I54" s="34">
        <f t="shared" si="7"/>
        <v>410.82568544319264</v>
      </c>
      <c r="J54" s="34">
        <f t="shared" si="8"/>
        <v>385.041646607846</v>
      </c>
      <c r="K54" s="25"/>
      <c r="N54" s="118">
        <f t="shared" si="21"/>
        <v>4399.401925956103</v>
      </c>
      <c r="O54" s="119">
        <f t="shared" si="18"/>
        <v>3143.250291036348</v>
      </c>
      <c r="P54" s="3"/>
      <c r="Q54" s="6"/>
    </row>
    <row r="55" spans="4:10" ht="12.75">
      <c r="D55" s="6"/>
      <c r="E55" s="6"/>
      <c r="I55" s="3"/>
      <c r="J55" s="3"/>
    </row>
    <row r="56" spans="4:10" ht="12.75">
      <c r="D56" s="6"/>
      <c r="E56" s="6"/>
      <c r="I56" s="3"/>
      <c r="J56" s="3"/>
    </row>
    <row r="57" spans="4:10" ht="12.75">
      <c r="D57" s="6"/>
      <c r="E57" s="6"/>
      <c r="I57" s="3"/>
      <c r="J57" s="3"/>
    </row>
    <row r="58" spans="4:10" ht="12.75">
      <c r="D58" s="6"/>
      <c r="E58" s="6"/>
      <c r="I58" s="3"/>
      <c r="J58" s="3"/>
    </row>
    <row r="59" spans="4:10" ht="12.75">
      <c r="D59" s="6"/>
      <c r="E59" s="6"/>
      <c r="I59" s="3"/>
      <c r="J59" s="3"/>
    </row>
    <row r="60" spans="4:10" ht="12.75">
      <c r="D60" s="6"/>
      <c r="E60" s="6"/>
      <c r="I60" s="3"/>
      <c r="J60" s="3"/>
    </row>
    <row r="63" spans="2:10" ht="12.75">
      <c r="B63" s="6"/>
      <c r="C63" s="6"/>
      <c r="D63" s="6"/>
      <c r="E63" s="6"/>
      <c r="J63" s="6"/>
    </row>
    <row r="64" spans="2:10" ht="12.75">
      <c r="B64" s="4"/>
      <c r="C64" s="4"/>
      <c r="D64" s="4"/>
      <c r="E64" s="4"/>
      <c r="G64" s="3"/>
      <c r="J64" s="6"/>
    </row>
    <row r="65" spans="1:10" ht="12.75">
      <c r="A65" s="4"/>
      <c r="G65" s="3"/>
      <c r="J65" s="6"/>
    </row>
    <row r="66" ht="12.75">
      <c r="G66" s="3"/>
    </row>
    <row r="67" ht="12.75">
      <c r="G67" s="3"/>
    </row>
    <row r="68" ht="12.75">
      <c r="G68" s="3"/>
    </row>
    <row r="72" spans="2:6" ht="12.75">
      <c r="B72" s="5"/>
      <c r="C72" s="5"/>
      <c r="D72" s="5"/>
      <c r="E72" s="5"/>
      <c r="F72" s="5"/>
    </row>
    <row r="73" spans="2:6" ht="12.75">
      <c r="B73" s="7"/>
      <c r="C73" s="7"/>
      <c r="D73" s="7"/>
      <c r="E73" s="7"/>
      <c r="F73" s="7"/>
    </row>
    <row r="74" spans="2:6" ht="12.75">
      <c r="B74" s="5"/>
      <c r="C74" s="5"/>
      <c r="D74" s="5"/>
      <c r="E74" s="5"/>
      <c r="F74" s="5"/>
    </row>
    <row r="75" spans="2:6" ht="12.75">
      <c r="B75" s="7"/>
      <c r="C75" s="7"/>
      <c r="D75" s="7"/>
      <c r="E75" s="7"/>
      <c r="F75" s="7"/>
    </row>
    <row r="76" spans="2:6" ht="12.75">
      <c r="B76" s="5"/>
      <c r="C76" s="5"/>
      <c r="D76" s="5"/>
      <c r="E76" s="5"/>
      <c r="F76" s="5"/>
    </row>
    <row r="77" spans="2:6" ht="12.75">
      <c r="B77" s="3"/>
      <c r="C77" s="3"/>
      <c r="D77" s="3"/>
      <c r="E77" s="3"/>
      <c r="F77" s="1"/>
    </row>
    <row r="78" spans="2:6" ht="12.75">
      <c r="B78" s="5"/>
      <c r="C78" s="5"/>
      <c r="D78" s="5"/>
      <c r="E78" s="5"/>
      <c r="F78" s="5"/>
    </row>
    <row r="79" spans="2:6" ht="12.75">
      <c r="B79" s="3"/>
      <c r="C79" s="3"/>
      <c r="D79" s="3"/>
      <c r="E79" s="3"/>
      <c r="F79" s="1"/>
    </row>
  </sheetData>
  <sheetProtection sheet="1" objects="1" scenarios="1"/>
  <mergeCells count="3">
    <mergeCell ref="K12:L12"/>
    <mergeCell ref="I11:L11"/>
    <mergeCell ref="F11:H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E1" sqref="E1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3" max="3" width="9.00390625" style="0" customWidth="1"/>
    <col min="4" max="4" width="11.421875" style="0" customWidth="1"/>
    <col min="7" max="7" width="10.57421875" style="0" bestFit="1" customWidth="1"/>
    <col min="8" max="8" width="9.57421875" style="0" bestFit="1" customWidth="1"/>
    <col min="9" max="9" width="11.28125" style="0" bestFit="1" customWidth="1"/>
    <col min="10" max="10" width="10.00390625" style="0" customWidth="1"/>
    <col min="11" max="11" width="9.57421875" style="0" bestFit="1" customWidth="1"/>
    <col min="12" max="12" width="12.28125" style="0" bestFit="1" customWidth="1"/>
  </cols>
  <sheetData>
    <row r="1" spans="1:6" ht="15">
      <c r="A1" t="s">
        <v>25</v>
      </c>
      <c r="B1" s="37">
        <v>0.027952755905511825</v>
      </c>
      <c r="C1" s="38">
        <f>B1*25.4</f>
        <v>0.7100000000000003</v>
      </c>
      <c r="D1" t="s">
        <v>27</v>
      </c>
      <c r="E1">
        <f>C1/1000</f>
        <v>0.0007100000000000003</v>
      </c>
      <c r="F1" t="s">
        <v>5</v>
      </c>
    </row>
    <row r="2" spans="1:6" ht="15">
      <c r="A2" t="s">
        <v>26</v>
      </c>
      <c r="B2" s="37">
        <v>0.027952755905511825</v>
      </c>
      <c r="C2" s="38">
        <f>B2*25.4</f>
        <v>0.7100000000000003</v>
      </c>
      <c r="D2" t="s">
        <v>27</v>
      </c>
      <c r="E2">
        <f>C2/1000</f>
        <v>0.0007100000000000003</v>
      </c>
      <c r="F2" t="s">
        <v>5</v>
      </c>
    </row>
    <row r="3" spans="1:2" ht="18">
      <c r="A3" s="2" t="s">
        <v>1</v>
      </c>
      <c r="B3" s="26">
        <v>8.854E-12</v>
      </c>
    </row>
    <row r="4" spans="1:4" ht="15">
      <c r="A4" t="s">
        <v>0</v>
      </c>
      <c r="B4" s="21">
        <f>$B$14*645.16</f>
        <v>2238.0206749451277</v>
      </c>
      <c r="C4" s="25">
        <f>B4*0.000001</f>
        <v>0.0022380206749451274</v>
      </c>
      <c r="D4" t="s">
        <v>2</v>
      </c>
    </row>
    <row r="5" spans="1:3" ht="12.75">
      <c r="A5" t="s">
        <v>11</v>
      </c>
      <c r="B5" s="11">
        <v>4.2</v>
      </c>
      <c r="C5" s="4" t="s">
        <v>12</v>
      </c>
    </row>
    <row r="6" spans="1:4" ht="15">
      <c r="A6" t="s">
        <v>19</v>
      </c>
      <c r="B6" s="28">
        <v>0.062</v>
      </c>
      <c r="C6">
        <f>B6*0.0254</f>
        <v>0.0015748</v>
      </c>
      <c r="D6" t="s">
        <v>5</v>
      </c>
    </row>
    <row r="7" spans="1:3" ht="12.75">
      <c r="A7" t="s">
        <v>13</v>
      </c>
      <c r="B7" s="10">
        <f>$B$5*$B$3*$C$4/$C$6*1000000000000</f>
        <v>52.847870989998384</v>
      </c>
      <c r="C7" t="s">
        <v>14</v>
      </c>
    </row>
    <row r="8" ht="18">
      <c r="A8" t="s">
        <v>6</v>
      </c>
    </row>
    <row r="9" spans="1:3" ht="12.75">
      <c r="A9" t="s">
        <v>28</v>
      </c>
      <c r="B9" s="10">
        <f>-$B$3*$C$4*1000000000/$D$32/$D$32</f>
        <v>-39.30854008324565</v>
      </c>
      <c r="C9" t="s">
        <v>29</v>
      </c>
    </row>
    <row r="10" spans="7:9" ht="13.5" thickBot="1">
      <c r="G10" s="155"/>
      <c r="H10" s="155"/>
      <c r="I10" s="155"/>
    </row>
    <row r="11" spans="1:6" ht="12.75">
      <c r="A11" s="18" t="s">
        <v>16</v>
      </c>
      <c r="B11" s="29">
        <v>1.5</v>
      </c>
      <c r="C11" s="12"/>
      <c r="D11" s="13"/>
      <c r="F11" s="14"/>
    </row>
    <row r="12" spans="1:6" ht="12.75">
      <c r="A12" s="16" t="s">
        <v>17</v>
      </c>
      <c r="B12" s="30">
        <v>2.5</v>
      </c>
      <c r="C12" s="14"/>
      <c r="D12" s="15"/>
      <c r="F12" s="14"/>
    </row>
    <row r="13" spans="1:6" ht="12.75">
      <c r="A13" s="16" t="s">
        <v>18</v>
      </c>
      <c r="B13" s="31">
        <v>0.141</v>
      </c>
      <c r="C13" s="32">
        <v>18</v>
      </c>
      <c r="D13" s="15" t="s">
        <v>10</v>
      </c>
      <c r="F13" s="11"/>
    </row>
    <row r="14" spans="1:6" ht="15.75" thickBot="1">
      <c r="A14" s="17" t="s">
        <v>9</v>
      </c>
      <c r="B14" s="20">
        <f>$B$11*$B$12-$C$13*$B$13*$B$13*PI()/4</f>
        <v>3.468938984042916</v>
      </c>
      <c r="C14" s="19" t="s">
        <v>15</v>
      </c>
      <c r="D14" s="36"/>
      <c r="F14" s="14"/>
    </row>
    <row r="16" spans="1:13" ht="15">
      <c r="A16" s="8" t="s">
        <v>23</v>
      </c>
      <c r="B16" s="8" t="s">
        <v>7</v>
      </c>
      <c r="C16" s="5" t="s">
        <v>24</v>
      </c>
      <c r="D16" s="5" t="s">
        <v>20</v>
      </c>
      <c r="E16" s="5" t="s">
        <v>21</v>
      </c>
      <c r="F16" s="5" t="s">
        <v>22</v>
      </c>
      <c r="G16" s="5" t="s">
        <v>3</v>
      </c>
      <c r="H16" s="5" t="s">
        <v>4</v>
      </c>
      <c r="I16" s="8" t="s">
        <v>8</v>
      </c>
      <c r="L16" s="156"/>
      <c r="M16" s="156"/>
    </row>
    <row r="17" spans="2:13" ht="12.75">
      <c r="B17" s="6"/>
      <c r="C17" s="11"/>
      <c r="G17" s="3"/>
      <c r="H17" s="3"/>
      <c r="I17" s="3"/>
      <c r="L17" s="5"/>
      <c r="M17" s="5"/>
    </row>
    <row r="18" spans="1:11" ht="12.75">
      <c r="A18">
        <f aca="true" t="shared" si="0" ref="A18:A46">C18-C$1</f>
        <v>-0.7000000000000001</v>
      </c>
      <c r="B18" s="22">
        <f aca="true" t="shared" si="1" ref="B18:B46">A18/1000</f>
        <v>-0.0007000000000000001</v>
      </c>
      <c r="C18" s="11">
        <f aca="true" t="shared" si="2" ref="C18:C31">C19-0.05</f>
        <v>0.01000000000000019</v>
      </c>
      <c r="D18">
        <f aca="true" t="shared" si="3" ref="D18:D46">C18/1000</f>
        <v>1.0000000000000189E-05</v>
      </c>
      <c r="E18">
        <f aca="true" t="shared" si="4" ref="E18:E46">$C$1+$C$2-C18</f>
        <v>1.4100000000000004</v>
      </c>
      <c r="F18">
        <f aca="true" t="shared" si="5" ref="F18:F46">E18/1000</f>
        <v>0.0014100000000000004</v>
      </c>
      <c r="G18" s="33">
        <f aca="true" t="shared" si="6" ref="G18:G46">$B$3*$C$4/D18*1000000000000</f>
        <v>1981.543505596378</v>
      </c>
      <c r="H18" s="33">
        <f aca="true" t="shared" si="7" ref="H18:H46">$B$3*$C$4/F18*1000000000000</f>
        <v>14.053500039690885</v>
      </c>
      <c r="I18" s="33">
        <f aca="true" t="shared" si="8" ref="I18:I46">2*$B$3*$C$4*$B18/($E$1*$E$2-$B18*$B18)*1000000000000</f>
        <v>-1967.4900055566807</v>
      </c>
      <c r="K18" s="25"/>
    </row>
    <row r="19" spans="1:11" ht="12.75">
      <c r="A19">
        <f t="shared" si="0"/>
        <v>-0.6500000000000001</v>
      </c>
      <c r="B19" s="22">
        <f t="shared" si="1"/>
        <v>-0.0006500000000000002</v>
      </c>
      <c r="C19" s="11">
        <f t="shared" si="2"/>
        <v>0.06000000000000019</v>
      </c>
      <c r="D19">
        <f t="shared" si="3"/>
        <v>6.000000000000019E-05</v>
      </c>
      <c r="E19">
        <f t="shared" si="4"/>
        <v>1.3600000000000003</v>
      </c>
      <c r="F19">
        <f t="shared" si="5"/>
        <v>0.0013600000000000003</v>
      </c>
      <c r="G19" s="33">
        <f t="shared" si="6"/>
        <v>330.25725093273485</v>
      </c>
      <c r="H19" s="33">
        <f t="shared" si="7"/>
        <v>14.570172835267757</v>
      </c>
      <c r="I19" s="33">
        <f t="shared" si="8"/>
        <v>-315.6870780974673</v>
      </c>
      <c r="K19" s="25"/>
    </row>
    <row r="20" spans="1:11" ht="12.75">
      <c r="A20">
        <f t="shared" si="0"/>
        <v>-0.6000000000000001</v>
      </c>
      <c r="B20" s="22">
        <f t="shared" si="1"/>
        <v>-0.0006000000000000001</v>
      </c>
      <c r="C20" s="11">
        <f t="shared" si="2"/>
        <v>0.1100000000000002</v>
      </c>
      <c r="D20">
        <f t="shared" si="3"/>
        <v>0.0001100000000000002</v>
      </c>
      <c r="E20">
        <f t="shared" si="4"/>
        <v>1.3100000000000005</v>
      </c>
      <c r="F20">
        <f t="shared" si="5"/>
        <v>0.0013100000000000004</v>
      </c>
      <c r="G20" s="33">
        <f t="shared" si="6"/>
        <v>180.14031869058292</v>
      </c>
      <c r="H20" s="33">
        <f t="shared" si="7"/>
        <v>15.12628630226271</v>
      </c>
      <c r="I20" s="33">
        <f t="shared" si="8"/>
        <v>-165.01403238832003</v>
      </c>
      <c r="K20" s="25"/>
    </row>
    <row r="21" spans="1:11" ht="12.75">
      <c r="A21">
        <f t="shared" si="0"/>
        <v>-0.55</v>
      </c>
      <c r="B21" s="27">
        <f t="shared" si="1"/>
        <v>-0.00055</v>
      </c>
      <c r="C21" s="11">
        <f t="shared" si="2"/>
        <v>0.1600000000000002</v>
      </c>
      <c r="D21" s="11">
        <f t="shared" si="3"/>
        <v>0.0001600000000000002</v>
      </c>
      <c r="E21" s="11">
        <f t="shared" si="4"/>
        <v>1.2600000000000005</v>
      </c>
      <c r="F21" s="11">
        <f t="shared" si="5"/>
        <v>0.0012600000000000005</v>
      </c>
      <c r="G21" s="34">
        <f t="shared" si="6"/>
        <v>123.8464690997758</v>
      </c>
      <c r="H21" s="34">
        <f t="shared" si="7"/>
        <v>15.726535758701703</v>
      </c>
      <c r="I21" s="34">
        <f t="shared" si="8"/>
        <v>-108.11993334107402</v>
      </c>
      <c r="K21" s="25"/>
    </row>
    <row r="22" spans="1:11" ht="12.75">
      <c r="A22">
        <f t="shared" si="0"/>
        <v>-0.5000000000000001</v>
      </c>
      <c r="B22" s="27">
        <f t="shared" si="1"/>
        <v>-0.0005000000000000001</v>
      </c>
      <c r="C22" s="11">
        <f t="shared" si="2"/>
        <v>0.2100000000000002</v>
      </c>
      <c r="D22" s="11">
        <f t="shared" si="3"/>
        <v>0.0002100000000000002</v>
      </c>
      <c r="E22" s="11">
        <f t="shared" si="4"/>
        <v>1.2100000000000004</v>
      </c>
      <c r="F22" s="11">
        <f t="shared" si="5"/>
        <v>0.0012100000000000004</v>
      </c>
      <c r="G22" s="34">
        <f t="shared" si="6"/>
        <v>94.35921455221018</v>
      </c>
      <c r="H22" s="34">
        <f t="shared" si="7"/>
        <v>16.376392608234834</v>
      </c>
      <c r="I22" s="34">
        <f t="shared" si="8"/>
        <v>-77.98282194397531</v>
      </c>
      <c r="K22" s="25"/>
    </row>
    <row r="23" spans="1:11" ht="12.75">
      <c r="A23">
        <f t="shared" si="0"/>
        <v>-0.4500000000000001</v>
      </c>
      <c r="B23" s="27">
        <f t="shared" si="1"/>
        <v>-0.0004500000000000001</v>
      </c>
      <c r="C23" s="11">
        <f t="shared" si="2"/>
        <v>0.2600000000000002</v>
      </c>
      <c r="D23" s="11">
        <f t="shared" si="3"/>
        <v>0.0002600000000000002</v>
      </c>
      <c r="E23" s="11">
        <f t="shared" si="4"/>
        <v>1.1600000000000004</v>
      </c>
      <c r="F23" s="11">
        <f t="shared" si="5"/>
        <v>0.0011600000000000004</v>
      </c>
      <c r="G23" s="34">
        <f t="shared" si="6"/>
        <v>76.21321175370824</v>
      </c>
      <c r="H23" s="34">
        <f t="shared" si="7"/>
        <v>17.082271599969094</v>
      </c>
      <c r="I23" s="34">
        <f t="shared" si="8"/>
        <v>-59.130940153739125</v>
      </c>
      <c r="K23" s="33"/>
    </row>
    <row r="24" spans="1:11" ht="12.75">
      <c r="A24">
        <f t="shared" si="0"/>
        <v>-0.40000000000000013</v>
      </c>
      <c r="B24" s="27">
        <f t="shared" si="1"/>
        <v>-0.00040000000000000013</v>
      </c>
      <c r="C24" s="11">
        <f t="shared" si="2"/>
        <v>0.31000000000000016</v>
      </c>
      <c r="D24" s="11">
        <f t="shared" si="3"/>
        <v>0.00031000000000000016</v>
      </c>
      <c r="E24" s="11">
        <f t="shared" si="4"/>
        <v>1.1100000000000003</v>
      </c>
      <c r="F24" s="11">
        <f t="shared" si="5"/>
        <v>0.0011100000000000003</v>
      </c>
      <c r="G24" s="34">
        <f t="shared" si="6"/>
        <v>63.92075824504563</v>
      </c>
      <c r="H24" s="34">
        <f t="shared" si="7"/>
        <v>17.851743293661396</v>
      </c>
      <c r="I24" s="34">
        <f t="shared" si="8"/>
        <v>-46.069014951384226</v>
      </c>
      <c r="K24" s="33"/>
    </row>
    <row r="25" spans="1:11" ht="12.75">
      <c r="A25">
        <f t="shared" si="0"/>
        <v>-0.35000000000000014</v>
      </c>
      <c r="B25" s="27">
        <f t="shared" si="1"/>
        <v>-0.00035000000000000016</v>
      </c>
      <c r="C25" s="11">
        <f t="shared" si="2"/>
        <v>0.36000000000000015</v>
      </c>
      <c r="D25" s="11">
        <f t="shared" si="3"/>
        <v>0.00036000000000000013</v>
      </c>
      <c r="E25" s="11">
        <f t="shared" si="4"/>
        <v>1.0600000000000005</v>
      </c>
      <c r="F25" s="11">
        <f t="shared" si="5"/>
        <v>0.0010600000000000004</v>
      </c>
      <c r="G25" s="34">
        <f t="shared" si="6"/>
        <v>55.04287515545597</v>
      </c>
      <c r="H25" s="34">
        <f t="shared" si="7"/>
        <v>18.69380665656995</v>
      </c>
      <c r="I25" s="34">
        <f t="shared" si="8"/>
        <v>-36.349068498886005</v>
      </c>
      <c r="K25" s="33"/>
    </row>
    <row r="26" spans="1:11" ht="12.75">
      <c r="A26">
        <f t="shared" si="0"/>
        <v>-0.30000000000000016</v>
      </c>
      <c r="B26" s="27">
        <f t="shared" si="1"/>
        <v>-0.00030000000000000014</v>
      </c>
      <c r="C26" s="11">
        <f t="shared" si="2"/>
        <v>0.41000000000000014</v>
      </c>
      <c r="D26" s="11">
        <f t="shared" si="3"/>
        <v>0.00041000000000000015</v>
      </c>
      <c r="E26" s="11">
        <f t="shared" si="4"/>
        <v>1.0100000000000005</v>
      </c>
      <c r="F26" s="11">
        <f t="shared" si="5"/>
        <v>0.0010100000000000005</v>
      </c>
      <c r="G26" s="34">
        <f t="shared" si="6"/>
        <v>48.330329404790604</v>
      </c>
      <c r="H26" s="34">
        <f t="shared" si="7"/>
        <v>19.619242629667472</v>
      </c>
      <c r="I26" s="34">
        <f t="shared" si="8"/>
        <v>-28.71108677512313</v>
      </c>
      <c r="K26" s="33"/>
    </row>
    <row r="27" spans="1:11" ht="12.75">
      <c r="A27">
        <f t="shared" si="0"/>
        <v>-0.25000000000000017</v>
      </c>
      <c r="B27" s="27">
        <f t="shared" si="1"/>
        <v>-0.00025000000000000017</v>
      </c>
      <c r="C27" s="11">
        <f t="shared" si="2"/>
        <v>0.46000000000000013</v>
      </c>
      <c r="D27" s="11">
        <f t="shared" si="3"/>
        <v>0.0004600000000000001</v>
      </c>
      <c r="E27" s="11">
        <f t="shared" si="4"/>
        <v>0.9600000000000004</v>
      </c>
      <c r="F27" s="11">
        <f t="shared" si="5"/>
        <v>0.0009600000000000005</v>
      </c>
      <c r="G27" s="34">
        <f t="shared" si="6"/>
        <v>43.07703273035685</v>
      </c>
      <c r="H27" s="34">
        <f t="shared" si="7"/>
        <v>20.641078183295985</v>
      </c>
      <c r="I27" s="34">
        <f t="shared" si="8"/>
        <v>-22.435954547060856</v>
      </c>
      <c r="K27" s="33"/>
    </row>
    <row r="28" spans="1:11" ht="12.75">
      <c r="A28">
        <f t="shared" si="0"/>
        <v>-0.20000000000000018</v>
      </c>
      <c r="B28" s="27">
        <f t="shared" si="1"/>
        <v>-0.00020000000000000017</v>
      </c>
      <c r="C28" s="11">
        <f t="shared" si="2"/>
        <v>0.5100000000000001</v>
      </c>
      <c r="D28" s="11">
        <f t="shared" si="3"/>
        <v>0.0005100000000000001</v>
      </c>
      <c r="E28" s="11">
        <f t="shared" si="4"/>
        <v>0.9100000000000005</v>
      </c>
      <c r="F28" s="11">
        <f t="shared" si="5"/>
        <v>0.0009100000000000004</v>
      </c>
      <c r="G28" s="34">
        <f t="shared" si="6"/>
        <v>38.85379422738069</v>
      </c>
      <c r="H28" s="34">
        <f t="shared" si="7"/>
        <v>21.775203358202358</v>
      </c>
      <c r="I28" s="34">
        <f t="shared" si="8"/>
        <v>-17.078590869178324</v>
      </c>
      <c r="K28" s="33"/>
    </row>
    <row r="29" spans="1:11" ht="12.75">
      <c r="A29">
        <f t="shared" si="0"/>
        <v>-0.15000000000000013</v>
      </c>
      <c r="B29" s="27">
        <f t="shared" si="1"/>
        <v>-0.00015000000000000012</v>
      </c>
      <c r="C29" s="11">
        <f t="shared" si="2"/>
        <v>0.5600000000000002</v>
      </c>
      <c r="D29" s="11">
        <f t="shared" si="3"/>
        <v>0.0005600000000000002</v>
      </c>
      <c r="E29" s="11">
        <f t="shared" si="4"/>
        <v>0.8600000000000004</v>
      </c>
      <c r="F29" s="11">
        <f t="shared" si="5"/>
        <v>0.0008600000000000004</v>
      </c>
      <c r="G29" s="34">
        <f t="shared" si="6"/>
        <v>35.38470545707884</v>
      </c>
      <c r="H29" s="34">
        <f t="shared" si="7"/>
        <v>23.04120355344668</v>
      </c>
      <c r="I29" s="34">
        <f t="shared" si="8"/>
        <v>-12.343501903632156</v>
      </c>
      <c r="K29" s="33"/>
    </row>
    <row r="30" spans="1:11" ht="12.75">
      <c r="A30">
        <f t="shared" si="0"/>
        <v>-0.10000000000000009</v>
      </c>
      <c r="B30" s="27">
        <f t="shared" si="1"/>
        <v>-0.00010000000000000009</v>
      </c>
      <c r="C30" s="11">
        <f t="shared" si="2"/>
        <v>0.6100000000000002</v>
      </c>
      <c r="D30" s="11">
        <f t="shared" si="3"/>
        <v>0.0006100000000000002</v>
      </c>
      <c r="E30" s="11">
        <f t="shared" si="4"/>
        <v>0.8100000000000004</v>
      </c>
      <c r="F30" s="11">
        <f t="shared" si="5"/>
        <v>0.0008100000000000004</v>
      </c>
      <c r="G30" s="34">
        <f t="shared" si="6"/>
        <v>32.484319763875654</v>
      </c>
      <c r="H30" s="34">
        <f t="shared" si="7"/>
        <v>24.463500069091538</v>
      </c>
      <c r="I30" s="34">
        <f t="shared" si="8"/>
        <v>-8.020819694784112</v>
      </c>
      <c r="K30" s="33"/>
    </row>
    <row r="31" spans="1:11" ht="12.75">
      <c r="A31">
        <f t="shared" si="0"/>
        <v>-0.050000000000000044</v>
      </c>
      <c r="B31" s="27">
        <f t="shared" si="1"/>
        <v>-5.000000000000004E-05</v>
      </c>
      <c r="C31" s="11">
        <f t="shared" si="2"/>
        <v>0.6600000000000003</v>
      </c>
      <c r="D31" s="11">
        <f t="shared" si="3"/>
        <v>0.0006600000000000002</v>
      </c>
      <c r="E31" s="11">
        <f t="shared" si="4"/>
        <v>0.7600000000000003</v>
      </c>
      <c r="F31" s="11">
        <f t="shared" si="5"/>
        <v>0.0007600000000000004</v>
      </c>
      <c r="G31" s="34">
        <f t="shared" si="6"/>
        <v>30.023386448430525</v>
      </c>
      <c r="H31" s="34">
        <f t="shared" si="7"/>
        <v>26.07294086311072</v>
      </c>
      <c r="I31" s="34">
        <f t="shared" si="8"/>
        <v>-3.950445585319807</v>
      </c>
      <c r="K31" s="33"/>
    </row>
    <row r="32" spans="1:12" ht="12.75">
      <c r="A32" s="9">
        <f t="shared" si="0"/>
        <v>0</v>
      </c>
      <c r="B32" s="23">
        <f t="shared" si="1"/>
        <v>0</v>
      </c>
      <c r="C32" s="9">
        <f>C1</f>
        <v>0.7100000000000003</v>
      </c>
      <c r="D32" s="9">
        <f t="shared" si="3"/>
        <v>0.0007100000000000003</v>
      </c>
      <c r="E32" s="9">
        <f t="shared" si="4"/>
        <v>0.7100000000000003</v>
      </c>
      <c r="F32" s="9">
        <f t="shared" si="5"/>
        <v>0.0007100000000000003</v>
      </c>
      <c r="G32" s="35">
        <f>$B$3*$C$4/$D$32*1000000000000</f>
        <v>27.90906345910443</v>
      </c>
      <c r="H32" s="35">
        <f t="shared" si="7"/>
        <v>27.90906345910443</v>
      </c>
      <c r="I32" s="35">
        <f t="shared" si="8"/>
        <v>0</v>
      </c>
      <c r="J32" s="33">
        <f>H32-H31</f>
        <v>1.8361225959937109</v>
      </c>
      <c r="K32" s="34"/>
      <c r="L32" s="11"/>
    </row>
    <row r="33" spans="1:13" ht="12.75">
      <c r="A33">
        <f t="shared" si="0"/>
        <v>0.050000000000000044</v>
      </c>
      <c r="B33" s="27">
        <f t="shared" si="1"/>
        <v>5.000000000000004E-05</v>
      </c>
      <c r="C33" s="11">
        <f aca="true" t="shared" si="9" ref="C33:C46">C32+0.05</f>
        <v>0.7600000000000003</v>
      </c>
      <c r="D33" s="11">
        <f t="shared" si="3"/>
        <v>0.0007600000000000004</v>
      </c>
      <c r="E33" s="11">
        <f t="shared" si="4"/>
        <v>0.6600000000000003</v>
      </c>
      <c r="F33" s="11">
        <f t="shared" si="5"/>
        <v>0.0006600000000000002</v>
      </c>
      <c r="G33" s="34">
        <f t="shared" si="6"/>
        <v>26.07294086311072</v>
      </c>
      <c r="H33" s="34">
        <f t="shared" si="7"/>
        <v>30.023386448430525</v>
      </c>
      <c r="I33" s="34">
        <f t="shared" si="8"/>
        <v>3.950445585319807</v>
      </c>
      <c r="K33" s="33"/>
      <c r="L33" s="24"/>
      <c r="M33" s="24"/>
    </row>
    <row r="34" spans="1:11" ht="12.75">
      <c r="A34">
        <f t="shared" si="0"/>
        <v>0.10000000000000009</v>
      </c>
      <c r="B34" s="27">
        <f t="shared" si="1"/>
        <v>0.00010000000000000009</v>
      </c>
      <c r="C34" s="11">
        <f t="shared" si="9"/>
        <v>0.8100000000000004</v>
      </c>
      <c r="D34" s="11">
        <f t="shared" si="3"/>
        <v>0.0008100000000000004</v>
      </c>
      <c r="E34" s="11">
        <f t="shared" si="4"/>
        <v>0.6100000000000002</v>
      </c>
      <c r="F34" s="11">
        <f t="shared" si="5"/>
        <v>0.0006100000000000002</v>
      </c>
      <c r="G34" s="34">
        <f t="shared" si="6"/>
        <v>24.463500069091538</v>
      </c>
      <c r="H34" s="34">
        <f t="shared" si="7"/>
        <v>32.484319763875654</v>
      </c>
      <c r="I34" s="34">
        <f t="shared" si="8"/>
        <v>8.020819694784112</v>
      </c>
      <c r="K34" s="33"/>
    </row>
    <row r="35" spans="1:11" ht="12.75">
      <c r="A35">
        <f t="shared" si="0"/>
        <v>0.15000000000000013</v>
      </c>
      <c r="B35" s="27">
        <f t="shared" si="1"/>
        <v>0.00015000000000000012</v>
      </c>
      <c r="C35" s="11">
        <f t="shared" si="9"/>
        <v>0.8600000000000004</v>
      </c>
      <c r="D35" s="11">
        <f t="shared" si="3"/>
        <v>0.0008600000000000004</v>
      </c>
      <c r="E35" s="11">
        <f t="shared" si="4"/>
        <v>0.5600000000000002</v>
      </c>
      <c r="F35" s="11">
        <f t="shared" si="5"/>
        <v>0.0005600000000000002</v>
      </c>
      <c r="G35" s="34">
        <f t="shared" si="6"/>
        <v>23.04120355344668</v>
      </c>
      <c r="H35" s="34">
        <f t="shared" si="7"/>
        <v>35.38470545707884</v>
      </c>
      <c r="I35" s="34">
        <f t="shared" si="8"/>
        <v>12.343501903632156</v>
      </c>
      <c r="K35" s="33"/>
    </row>
    <row r="36" spans="1:11" ht="12.75">
      <c r="A36">
        <f t="shared" si="0"/>
        <v>0.20000000000000018</v>
      </c>
      <c r="B36" s="27">
        <f t="shared" si="1"/>
        <v>0.00020000000000000017</v>
      </c>
      <c r="C36" s="11">
        <f t="shared" si="9"/>
        <v>0.9100000000000005</v>
      </c>
      <c r="D36" s="11">
        <f t="shared" si="3"/>
        <v>0.0009100000000000004</v>
      </c>
      <c r="E36" s="11">
        <f t="shared" si="4"/>
        <v>0.5100000000000001</v>
      </c>
      <c r="F36" s="11">
        <f t="shared" si="5"/>
        <v>0.0005100000000000001</v>
      </c>
      <c r="G36" s="34">
        <f t="shared" si="6"/>
        <v>21.775203358202358</v>
      </c>
      <c r="H36" s="34">
        <f t="shared" si="7"/>
        <v>38.85379422738069</v>
      </c>
      <c r="I36" s="34">
        <f t="shared" si="8"/>
        <v>17.078590869178324</v>
      </c>
      <c r="K36" s="33"/>
    </row>
    <row r="37" spans="1:11" ht="12.75">
      <c r="A37">
        <f t="shared" si="0"/>
        <v>0.2500000000000002</v>
      </c>
      <c r="B37" s="27">
        <f t="shared" si="1"/>
        <v>0.0002500000000000002</v>
      </c>
      <c r="C37" s="11">
        <f t="shared" si="9"/>
        <v>0.9600000000000005</v>
      </c>
      <c r="D37" s="11">
        <f t="shared" si="3"/>
        <v>0.0009600000000000006</v>
      </c>
      <c r="E37" s="11">
        <f t="shared" si="4"/>
        <v>0.4600000000000001</v>
      </c>
      <c r="F37" s="11">
        <f t="shared" si="5"/>
        <v>0.00046000000000000007</v>
      </c>
      <c r="G37" s="34">
        <f t="shared" si="6"/>
        <v>20.641078183295985</v>
      </c>
      <c r="H37" s="34">
        <f t="shared" si="7"/>
        <v>43.077032730356855</v>
      </c>
      <c r="I37" s="34">
        <f t="shared" si="8"/>
        <v>22.435954547060863</v>
      </c>
      <c r="K37" s="33"/>
    </row>
    <row r="38" spans="1:11" ht="12.75">
      <c r="A38">
        <f t="shared" si="0"/>
        <v>0.30000000000000016</v>
      </c>
      <c r="B38" s="27">
        <f t="shared" si="1"/>
        <v>0.00030000000000000014</v>
      </c>
      <c r="C38" s="11">
        <f t="shared" si="9"/>
        <v>1.0100000000000005</v>
      </c>
      <c r="D38" s="11">
        <f t="shared" si="3"/>
        <v>0.0010100000000000005</v>
      </c>
      <c r="E38" s="11">
        <f t="shared" si="4"/>
        <v>0.41000000000000014</v>
      </c>
      <c r="F38" s="11">
        <f t="shared" si="5"/>
        <v>0.00041000000000000015</v>
      </c>
      <c r="G38" s="34">
        <f t="shared" si="6"/>
        <v>19.619242629667472</v>
      </c>
      <c r="H38" s="34">
        <f t="shared" si="7"/>
        <v>48.330329404790604</v>
      </c>
      <c r="I38" s="34">
        <f t="shared" si="8"/>
        <v>28.71108677512313</v>
      </c>
      <c r="K38" s="33"/>
    </row>
    <row r="39" spans="1:11" ht="12.75">
      <c r="A39">
        <f t="shared" si="0"/>
        <v>0.3500000000000002</v>
      </c>
      <c r="B39" s="27">
        <f t="shared" si="1"/>
        <v>0.0003500000000000002</v>
      </c>
      <c r="C39" s="11">
        <f t="shared" si="9"/>
        <v>1.0600000000000005</v>
      </c>
      <c r="D39" s="11">
        <f t="shared" si="3"/>
        <v>0.0010600000000000004</v>
      </c>
      <c r="E39" s="11">
        <f t="shared" si="4"/>
        <v>0.3600000000000001</v>
      </c>
      <c r="F39" s="11">
        <f t="shared" si="5"/>
        <v>0.0003600000000000001</v>
      </c>
      <c r="G39" s="34">
        <f t="shared" si="6"/>
        <v>18.69380665656995</v>
      </c>
      <c r="H39" s="34">
        <f t="shared" si="7"/>
        <v>55.04287515545598</v>
      </c>
      <c r="I39" s="34">
        <f t="shared" si="8"/>
        <v>36.34906849888602</v>
      </c>
      <c r="K39" s="33"/>
    </row>
    <row r="40" spans="1:11" ht="12.75">
      <c r="A40">
        <f t="shared" si="0"/>
        <v>0.40000000000000024</v>
      </c>
      <c r="B40" s="27">
        <f t="shared" si="1"/>
        <v>0.00040000000000000024</v>
      </c>
      <c r="C40" s="11">
        <f t="shared" si="9"/>
        <v>1.1100000000000005</v>
      </c>
      <c r="D40" s="11">
        <f t="shared" si="3"/>
        <v>0.0011100000000000005</v>
      </c>
      <c r="E40" s="11">
        <f t="shared" si="4"/>
        <v>0.31000000000000005</v>
      </c>
      <c r="F40" s="11">
        <f t="shared" si="5"/>
        <v>0.00031000000000000005</v>
      </c>
      <c r="G40" s="34">
        <f t="shared" si="6"/>
        <v>17.851743293661393</v>
      </c>
      <c r="H40" s="34">
        <f t="shared" si="7"/>
        <v>63.92075824504565</v>
      </c>
      <c r="I40" s="34">
        <f t="shared" si="8"/>
        <v>46.06901495138425</v>
      </c>
      <c r="K40" s="33"/>
    </row>
    <row r="41" spans="1:11" ht="12.75">
      <c r="A41">
        <f t="shared" si="0"/>
        <v>0.4500000000000003</v>
      </c>
      <c r="B41" s="27">
        <f t="shared" si="1"/>
        <v>0.0004500000000000003</v>
      </c>
      <c r="C41" s="11">
        <f t="shared" si="9"/>
        <v>1.1600000000000006</v>
      </c>
      <c r="D41" s="11">
        <f t="shared" si="3"/>
        <v>0.0011600000000000007</v>
      </c>
      <c r="E41" s="11">
        <f t="shared" si="4"/>
        <v>0.26</v>
      </c>
      <c r="F41" s="11">
        <f t="shared" si="5"/>
        <v>0.00026000000000000003</v>
      </c>
      <c r="G41" s="34">
        <f t="shared" si="6"/>
        <v>17.08227159996909</v>
      </c>
      <c r="H41" s="34">
        <f t="shared" si="7"/>
        <v>76.21321175370828</v>
      </c>
      <c r="I41" s="34">
        <f t="shared" si="8"/>
        <v>59.13094015373919</v>
      </c>
      <c r="K41" s="33"/>
    </row>
    <row r="42" spans="1:11" ht="12.75">
      <c r="A42">
        <f t="shared" si="0"/>
        <v>0.5000000000000003</v>
      </c>
      <c r="B42" s="27">
        <f t="shared" si="1"/>
        <v>0.0005000000000000003</v>
      </c>
      <c r="C42" s="11">
        <f t="shared" si="9"/>
        <v>1.2100000000000006</v>
      </c>
      <c r="D42" s="11">
        <f t="shared" si="3"/>
        <v>0.0012100000000000006</v>
      </c>
      <c r="E42" s="11">
        <f t="shared" si="4"/>
        <v>0.20999999999999996</v>
      </c>
      <c r="F42" s="11">
        <f t="shared" si="5"/>
        <v>0.00020999999999999995</v>
      </c>
      <c r="G42" s="34">
        <f t="shared" si="6"/>
        <v>16.376392608234834</v>
      </c>
      <c r="H42" s="34">
        <f t="shared" si="7"/>
        <v>94.35921455221029</v>
      </c>
      <c r="I42" s="34">
        <f t="shared" si="8"/>
        <v>77.98282194397544</v>
      </c>
      <c r="K42" s="33"/>
    </row>
    <row r="43" spans="1:11" ht="12.75">
      <c r="A43">
        <f t="shared" si="0"/>
        <v>0.5500000000000004</v>
      </c>
      <c r="B43" s="27">
        <f t="shared" si="1"/>
        <v>0.0005500000000000004</v>
      </c>
      <c r="C43" s="11">
        <f t="shared" si="9"/>
        <v>1.2600000000000007</v>
      </c>
      <c r="D43" s="11">
        <f t="shared" si="3"/>
        <v>0.0012600000000000007</v>
      </c>
      <c r="E43" s="11">
        <f t="shared" si="4"/>
        <v>0.15999999999999992</v>
      </c>
      <c r="F43" s="11">
        <f t="shared" si="5"/>
        <v>0.00015999999999999993</v>
      </c>
      <c r="G43" s="34">
        <f t="shared" si="6"/>
        <v>15.726535758701703</v>
      </c>
      <c r="H43" s="34">
        <f t="shared" si="7"/>
        <v>123.84646909977602</v>
      </c>
      <c r="I43" s="34">
        <f t="shared" si="8"/>
        <v>108.11993334107429</v>
      </c>
      <c r="K43" s="33"/>
    </row>
    <row r="44" spans="1:11" ht="12.75">
      <c r="A44">
        <f t="shared" si="0"/>
        <v>0.6000000000000004</v>
      </c>
      <c r="B44" s="27">
        <f t="shared" si="1"/>
        <v>0.0006000000000000004</v>
      </c>
      <c r="C44" s="11">
        <f t="shared" si="9"/>
        <v>1.3100000000000007</v>
      </c>
      <c r="D44" s="11">
        <f t="shared" si="3"/>
        <v>0.0013100000000000006</v>
      </c>
      <c r="E44" s="11">
        <f t="shared" si="4"/>
        <v>0.10999999999999988</v>
      </c>
      <c r="F44" s="11">
        <f t="shared" si="5"/>
        <v>0.00010999999999999988</v>
      </c>
      <c r="G44" s="34">
        <f t="shared" si="6"/>
        <v>15.126286302262706</v>
      </c>
      <c r="H44" s="34">
        <f t="shared" si="7"/>
        <v>180.14031869058343</v>
      </c>
      <c r="I44" s="34">
        <f t="shared" si="8"/>
        <v>165.0140323883206</v>
      </c>
      <c r="K44" s="33"/>
    </row>
    <row r="45" spans="1:11" ht="12.75">
      <c r="A45">
        <f t="shared" si="0"/>
        <v>0.6500000000000005</v>
      </c>
      <c r="B45" s="27">
        <f t="shared" si="1"/>
        <v>0.0006500000000000005</v>
      </c>
      <c r="C45" s="11">
        <f t="shared" si="9"/>
        <v>1.3600000000000008</v>
      </c>
      <c r="D45" s="11">
        <f t="shared" si="3"/>
        <v>0.0013600000000000007</v>
      </c>
      <c r="E45" s="11">
        <f t="shared" si="4"/>
        <v>0.05999999999999983</v>
      </c>
      <c r="F45" s="11">
        <f t="shared" si="5"/>
        <v>5.999999999999983E-05</v>
      </c>
      <c r="G45" s="34">
        <f t="shared" si="6"/>
        <v>14.570172835267755</v>
      </c>
      <c r="H45" s="34">
        <f t="shared" si="7"/>
        <v>330.25725093273684</v>
      </c>
      <c r="I45" s="34">
        <f t="shared" si="8"/>
        <v>315.687078097469</v>
      </c>
      <c r="K45" s="33"/>
    </row>
    <row r="46" spans="1:11" ht="12.75">
      <c r="A46">
        <f t="shared" si="0"/>
        <v>0.7000000000000005</v>
      </c>
      <c r="B46" s="27">
        <f t="shared" si="1"/>
        <v>0.0007000000000000005</v>
      </c>
      <c r="C46" s="11">
        <f t="shared" si="9"/>
        <v>1.4100000000000008</v>
      </c>
      <c r="D46" s="11">
        <f t="shared" si="3"/>
        <v>0.0014100000000000009</v>
      </c>
      <c r="E46" s="11">
        <f t="shared" si="4"/>
        <v>0.009999999999999787</v>
      </c>
      <c r="F46" s="11">
        <f t="shared" si="5"/>
        <v>9.999999999999787E-06</v>
      </c>
      <c r="G46" s="34">
        <f t="shared" si="6"/>
        <v>14.053500039690881</v>
      </c>
      <c r="H46" s="34">
        <f t="shared" si="7"/>
        <v>1981.5435055964576</v>
      </c>
      <c r="I46" s="34">
        <f t="shared" si="8"/>
        <v>1967.4900055567555</v>
      </c>
      <c r="K46" s="33"/>
    </row>
    <row r="47" spans="3:10" ht="12.75">
      <c r="C47" s="6"/>
      <c r="D47" s="6"/>
      <c r="H47" s="3"/>
      <c r="I47" s="3"/>
      <c r="J47" s="3"/>
    </row>
    <row r="48" spans="3:10" ht="12.75">
      <c r="C48" s="6"/>
      <c r="D48" s="6"/>
      <c r="H48" s="3"/>
      <c r="I48" s="3"/>
      <c r="J48" s="3"/>
    </row>
    <row r="49" spans="3:10" ht="12.75">
      <c r="C49" s="6"/>
      <c r="D49" s="6"/>
      <c r="H49" s="3"/>
      <c r="I49" s="3"/>
      <c r="J49" s="3"/>
    </row>
    <row r="50" spans="3:10" ht="12.75">
      <c r="C50" s="6"/>
      <c r="D50" s="6"/>
      <c r="H50" s="3"/>
      <c r="I50" s="3"/>
      <c r="J50" s="3"/>
    </row>
    <row r="51" spans="3:10" ht="12.75">
      <c r="C51" s="6"/>
      <c r="D51" s="6"/>
      <c r="H51" s="3"/>
      <c r="I51" s="3"/>
      <c r="J51" s="3"/>
    </row>
    <row r="52" spans="3:10" ht="12.75">
      <c r="C52" s="6"/>
      <c r="D52" s="6"/>
      <c r="H52" s="3"/>
      <c r="I52" s="3"/>
      <c r="J52" s="3"/>
    </row>
    <row r="55" spans="2:10" ht="12.75">
      <c r="B55" s="6"/>
      <c r="C55" s="6"/>
      <c r="D55" s="6"/>
      <c r="I55" s="6"/>
      <c r="J55" s="4"/>
    </row>
    <row r="56" spans="2:10" ht="12.75">
      <c r="B56" s="4"/>
      <c r="C56" s="4"/>
      <c r="D56" s="4"/>
      <c r="F56" s="3"/>
      <c r="I56" s="6"/>
      <c r="J56" s="4"/>
    </row>
    <row r="57" spans="1:9" ht="12.75">
      <c r="A57" s="4"/>
      <c r="F57" s="3"/>
      <c r="I57" s="6"/>
    </row>
    <row r="58" ht="12.75">
      <c r="F58" s="3"/>
    </row>
    <row r="59" ht="12.75">
      <c r="F59" s="3"/>
    </row>
    <row r="60" ht="12.75">
      <c r="F60" s="3"/>
    </row>
    <row r="64" spans="2:5" ht="12.75">
      <c r="B64" s="5"/>
      <c r="C64" s="5"/>
      <c r="D64" s="5"/>
      <c r="E64" s="5"/>
    </row>
    <row r="65" spans="2:5" ht="12.75">
      <c r="B65" s="7"/>
      <c r="C65" s="7"/>
      <c r="D65" s="7"/>
      <c r="E65" s="7"/>
    </row>
    <row r="66" spans="2:5" ht="12.75">
      <c r="B66" s="5"/>
      <c r="C66" s="5"/>
      <c r="D66" s="5"/>
      <c r="E66" s="5"/>
    </row>
    <row r="67" spans="2:5" ht="12.75">
      <c r="B67" s="7"/>
      <c r="C67" s="7"/>
      <c r="D67" s="7"/>
      <c r="E67" s="7"/>
    </row>
    <row r="68" spans="2:5" ht="12.75">
      <c r="B68" s="5"/>
      <c r="C68" s="5"/>
      <c r="D68" s="5"/>
      <c r="E68" s="5"/>
    </row>
    <row r="69" spans="2:5" ht="12.75">
      <c r="B69" s="3"/>
      <c r="C69" s="3"/>
      <c r="D69" s="3"/>
      <c r="E69" s="1"/>
    </row>
    <row r="70" spans="2:5" ht="12.75">
      <c r="B70" s="5"/>
      <c r="C70" s="5"/>
      <c r="D70" s="5"/>
      <c r="E70" s="5"/>
    </row>
    <row r="71" spans="2:5" ht="12.75">
      <c r="B71" s="3"/>
      <c r="C71" s="3"/>
      <c r="D71" s="3"/>
      <c r="E71" s="1"/>
    </row>
  </sheetData>
  <sheetProtection/>
  <mergeCells count="2">
    <mergeCell ref="G10:I10"/>
    <mergeCell ref="L16:M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3" max="3" width="9.00390625" style="0" customWidth="1"/>
    <col min="4" max="4" width="11.421875" style="0" customWidth="1"/>
    <col min="7" max="8" width="10.57421875" style="0" bestFit="1" customWidth="1"/>
    <col min="9" max="9" width="11.28125" style="0" bestFit="1" customWidth="1"/>
    <col min="10" max="10" width="10.00390625" style="0" customWidth="1"/>
    <col min="11" max="11" width="9.57421875" style="0" bestFit="1" customWidth="1"/>
    <col min="12" max="12" width="12.28125" style="0" bestFit="1" customWidth="1"/>
  </cols>
  <sheetData>
    <row r="1" spans="1:6" ht="15">
      <c r="A1" t="s">
        <v>25</v>
      </c>
      <c r="B1" s="124">
        <v>0.027952755905511825</v>
      </c>
      <c r="C1" s="38">
        <f>B1*25.4</f>
        <v>0.7100000000000003</v>
      </c>
      <c r="D1" t="s">
        <v>27</v>
      </c>
      <c r="E1">
        <f>C1/1000</f>
        <v>0.0007100000000000003</v>
      </c>
      <c r="F1" t="s">
        <v>5</v>
      </c>
    </row>
    <row r="2" spans="1:6" ht="15">
      <c r="A2" t="s">
        <v>26</v>
      </c>
      <c r="B2" s="124">
        <v>0.027952755905511825</v>
      </c>
      <c r="C2" s="38">
        <f>B2*25.4</f>
        <v>0.7100000000000003</v>
      </c>
      <c r="D2" t="s">
        <v>27</v>
      </c>
      <c r="E2">
        <f>C2/1000</f>
        <v>0.0007100000000000003</v>
      </c>
      <c r="F2" t="s">
        <v>5</v>
      </c>
    </row>
    <row r="3" spans="1:2" ht="18">
      <c r="A3" s="2" t="s">
        <v>1</v>
      </c>
      <c r="B3" s="136">
        <v>8.854E-12</v>
      </c>
    </row>
    <row r="4" spans="1:8" ht="15">
      <c r="A4" t="s">
        <v>0</v>
      </c>
      <c r="B4" s="137">
        <f>$B$14*645.16</f>
        <v>2137.282161025754</v>
      </c>
      <c r="C4" s="25">
        <f>B4*0.000001</f>
        <v>0.002137282161025754</v>
      </c>
      <c r="D4" t="s">
        <v>2</v>
      </c>
      <c r="E4" s="157" t="s">
        <v>80</v>
      </c>
      <c r="F4" s="158"/>
      <c r="G4" s="139"/>
      <c r="H4" s="140"/>
    </row>
    <row r="5" spans="1:8" ht="12.75">
      <c r="A5" t="s">
        <v>11</v>
      </c>
      <c r="B5" s="138">
        <v>4.2</v>
      </c>
      <c r="C5" s="4" t="s">
        <v>12</v>
      </c>
      <c r="E5" s="141">
        <f>E7*G6/(B3*C4)*0.000000000001</f>
        <v>5.92224600028429</v>
      </c>
      <c r="F5" s="147" t="s">
        <v>12</v>
      </c>
      <c r="G5" s="14"/>
      <c r="H5" s="142"/>
    </row>
    <row r="6" spans="1:8" ht="15">
      <c r="A6" t="s">
        <v>19</v>
      </c>
      <c r="B6" s="124">
        <v>0.058055</v>
      </c>
      <c r="C6">
        <f>B6*0.0254</f>
        <v>0.001474597</v>
      </c>
      <c r="D6" t="s">
        <v>5</v>
      </c>
      <c r="E6" s="143">
        <f>G6/0.0254</f>
        <v>0.05805511811023622</v>
      </c>
      <c r="F6" s="14" t="s">
        <v>32</v>
      </c>
      <c r="G6" s="124">
        <f>(1.5-0.0254)*0.001</f>
        <v>0.0014746</v>
      </c>
      <c r="H6" s="142" t="s">
        <v>5</v>
      </c>
    </row>
    <row r="7" spans="1:8" ht="12.75">
      <c r="A7" t="s">
        <v>81</v>
      </c>
      <c r="B7" s="76">
        <f>$B$5*$B$3*$C$4/$C$6*1000000000000</f>
        <v>53.898579927690406</v>
      </c>
      <c r="C7" t="s">
        <v>14</v>
      </c>
      <c r="E7" s="144">
        <v>76</v>
      </c>
      <c r="F7" s="145" t="s">
        <v>14</v>
      </c>
      <c r="G7" s="145"/>
      <c r="H7" s="146"/>
    </row>
    <row r="8" spans="1:2" ht="18">
      <c r="A8" t="s">
        <v>6</v>
      </c>
      <c r="B8" s="63"/>
    </row>
    <row r="9" spans="1:3" ht="12.75">
      <c r="A9" t="s">
        <v>28</v>
      </c>
      <c r="B9" s="76">
        <f>-$B$3*$C$4*1000000000/$D$32/$D$32</f>
        <v>-37.53917130276137</v>
      </c>
      <c r="C9" t="s">
        <v>29</v>
      </c>
    </row>
    <row r="10" spans="7:9" ht="13.5" thickBot="1">
      <c r="G10" s="148"/>
      <c r="H10" s="148"/>
      <c r="I10" s="148"/>
    </row>
    <row r="11" spans="1:6" ht="12.75">
      <c r="A11" s="18" t="s">
        <v>16</v>
      </c>
      <c r="B11" s="133">
        <v>1.5</v>
      </c>
      <c r="C11" s="12"/>
      <c r="D11" s="13"/>
      <c r="F11" s="14"/>
    </row>
    <row r="12" spans="1:6" ht="12.75">
      <c r="A12" s="16" t="s">
        <v>17</v>
      </c>
      <c r="B12" s="134">
        <v>2.5</v>
      </c>
      <c r="C12" s="14"/>
      <c r="D12" s="15"/>
      <c r="F12" s="14"/>
    </row>
    <row r="13" spans="1:6" ht="12.75">
      <c r="A13" s="16" t="s">
        <v>18</v>
      </c>
      <c r="B13" s="135">
        <v>0.141</v>
      </c>
      <c r="C13" s="124">
        <v>28</v>
      </c>
      <c r="D13" s="15" t="s">
        <v>10</v>
      </c>
      <c r="F13" s="11"/>
    </row>
    <row r="14" spans="1:6" ht="15.75" thickBot="1">
      <c r="A14" s="17" t="s">
        <v>9</v>
      </c>
      <c r="B14" s="20">
        <f>$B$11*$B$12-$C$13*$B$13*$B$13*PI()/4</f>
        <v>3.312793975177869</v>
      </c>
      <c r="C14" s="19" t="s">
        <v>15</v>
      </c>
      <c r="D14" s="36"/>
      <c r="F14" s="14"/>
    </row>
    <row r="16" spans="1:13" ht="15">
      <c r="A16" s="8" t="s">
        <v>23</v>
      </c>
      <c r="B16" s="8" t="s">
        <v>7</v>
      </c>
      <c r="C16" s="5" t="s">
        <v>87</v>
      </c>
      <c r="D16" s="5" t="s">
        <v>86</v>
      </c>
      <c r="E16" s="5" t="s">
        <v>85</v>
      </c>
      <c r="F16" s="5" t="s">
        <v>84</v>
      </c>
      <c r="G16" s="5" t="s">
        <v>82</v>
      </c>
      <c r="H16" s="5" t="s">
        <v>83</v>
      </c>
      <c r="I16" s="8" t="s">
        <v>8</v>
      </c>
      <c r="L16" s="156"/>
      <c r="M16" s="156"/>
    </row>
    <row r="17" spans="2:13" ht="12.75">
      <c r="B17" s="6"/>
      <c r="C17" s="11"/>
      <c r="G17" s="3"/>
      <c r="H17" s="3"/>
      <c r="I17" s="3"/>
      <c r="L17" s="5"/>
      <c r="M17" s="5"/>
    </row>
    <row r="18" spans="1:11" ht="12.75">
      <c r="A18">
        <f aca="true" t="shared" si="0" ref="A18:A46">C18-C$1</f>
        <v>-0.7000000000000001</v>
      </c>
      <c r="B18" s="22">
        <f aca="true" t="shared" si="1" ref="B18:B46">A18/1000</f>
        <v>-0.0007000000000000001</v>
      </c>
      <c r="C18" s="11">
        <f aca="true" t="shared" si="2" ref="C18:C31">C19-0.05</f>
        <v>0.01000000000000019</v>
      </c>
      <c r="D18">
        <f aca="true" t="shared" si="3" ref="D18:D46">C18/1000</f>
        <v>1.0000000000000189E-05</v>
      </c>
      <c r="E18">
        <f aca="true" t="shared" si="4" ref="E18:E46">$C$1+$C$2-C18</f>
        <v>1.4100000000000004</v>
      </c>
      <c r="F18">
        <f aca="true" t="shared" si="5" ref="F18:F46">E18/1000</f>
        <v>0.0014100000000000004</v>
      </c>
      <c r="G18" s="33">
        <f aca="true" t="shared" si="6" ref="G18:G31">$B$3*$C$4/D18*1000000000000</f>
        <v>1892.3496253721667</v>
      </c>
      <c r="H18" s="33">
        <f aca="true" t="shared" si="7" ref="H18:H46">$B$3*$C$4/F18*1000000000000</f>
        <v>13.420919328880862</v>
      </c>
      <c r="I18" s="33">
        <f aca="true" t="shared" si="8" ref="I18:I46">2*$B$3*$C$4*$B18/($E$1*$E$2-$B18*$B18)*1000000000000</f>
        <v>-1878.9287060432791</v>
      </c>
      <c r="K18" s="25"/>
    </row>
    <row r="19" spans="1:11" ht="12.75">
      <c r="A19">
        <f t="shared" si="0"/>
        <v>-0.6500000000000001</v>
      </c>
      <c r="B19" s="22">
        <f t="shared" si="1"/>
        <v>-0.0006500000000000002</v>
      </c>
      <c r="C19" s="11">
        <f t="shared" si="2"/>
        <v>0.06000000000000019</v>
      </c>
      <c r="D19">
        <f t="shared" si="3"/>
        <v>6.000000000000019E-05</v>
      </c>
      <c r="E19">
        <f t="shared" si="4"/>
        <v>1.3600000000000003</v>
      </c>
      <c r="F19">
        <f t="shared" si="5"/>
        <v>0.0013600000000000003</v>
      </c>
      <c r="G19" s="33">
        <f t="shared" si="6"/>
        <v>315.39160422869935</v>
      </c>
      <c r="H19" s="33">
        <f t="shared" si="7"/>
        <v>13.914335480677956</v>
      </c>
      <c r="I19" s="33">
        <f t="shared" si="8"/>
        <v>-301.4772687480216</v>
      </c>
      <c r="K19" s="25"/>
    </row>
    <row r="20" spans="1:11" ht="12.75">
      <c r="A20">
        <f t="shared" si="0"/>
        <v>-0.6000000000000001</v>
      </c>
      <c r="B20" s="22">
        <f t="shared" si="1"/>
        <v>-0.0006000000000000001</v>
      </c>
      <c r="C20" s="11">
        <f t="shared" si="2"/>
        <v>0.1100000000000002</v>
      </c>
      <c r="D20">
        <f t="shared" si="3"/>
        <v>0.0001100000000000002</v>
      </c>
      <c r="E20">
        <f t="shared" si="4"/>
        <v>1.3100000000000005</v>
      </c>
      <c r="F20">
        <f t="shared" si="5"/>
        <v>0.0013100000000000004</v>
      </c>
      <c r="G20" s="33">
        <f t="shared" si="6"/>
        <v>172.03178412474534</v>
      </c>
      <c r="H20" s="33">
        <f t="shared" si="7"/>
        <v>14.44541698757406</v>
      </c>
      <c r="I20" s="33">
        <f t="shared" si="8"/>
        <v>-157.5863671371711</v>
      </c>
      <c r="K20" s="25"/>
    </row>
    <row r="21" spans="1:11" ht="12.75">
      <c r="A21">
        <f t="shared" si="0"/>
        <v>-0.55</v>
      </c>
      <c r="B21" s="27">
        <f t="shared" si="1"/>
        <v>-0.00055</v>
      </c>
      <c r="C21" s="11">
        <f t="shared" si="2"/>
        <v>0.1600000000000002</v>
      </c>
      <c r="D21" s="11">
        <f t="shared" si="3"/>
        <v>0.0001600000000000002</v>
      </c>
      <c r="E21" s="11">
        <f t="shared" si="4"/>
        <v>1.2600000000000005</v>
      </c>
      <c r="F21" s="11">
        <f t="shared" si="5"/>
        <v>0.0012600000000000005</v>
      </c>
      <c r="G21" s="34">
        <f t="shared" si="6"/>
        <v>118.27185158576248</v>
      </c>
      <c r="H21" s="34">
        <f t="shared" si="7"/>
        <v>15.0186478204143</v>
      </c>
      <c r="I21" s="34">
        <f t="shared" si="8"/>
        <v>-103.25320376534809</v>
      </c>
      <c r="K21" s="25"/>
    </row>
    <row r="22" spans="1:11" ht="12.75">
      <c r="A22">
        <f t="shared" si="0"/>
        <v>-0.5000000000000001</v>
      </c>
      <c r="B22" s="27">
        <f t="shared" si="1"/>
        <v>-0.0005000000000000001</v>
      </c>
      <c r="C22" s="11">
        <f t="shared" si="2"/>
        <v>0.2100000000000002</v>
      </c>
      <c r="D22" s="11">
        <f t="shared" si="3"/>
        <v>0.0002100000000000002</v>
      </c>
      <c r="E22" s="11">
        <f t="shared" si="4"/>
        <v>1.2100000000000004</v>
      </c>
      <c r="F22" s="11">
        <f t="shared" si="5"/>
        <v>0.0012100000000000004</v>
      </c>
      <c r="G22" s="34">
        <f t="shared" si="6"/>
        <v>90.11188692248574</v>
      </c>
      <c r="H22" s="34">
        <f t="shared" si="7"/>
        <v>15.6392531022496</v>
      </c>
      <c r="I22" s="34">
        <f t="shared" si="8"/>
        <v>-74.47263382023613</v>
      </c>
      <c r="K22" s="25"/>
    </row>
    <row r="23" spans="1:11" ht="12.75">
      <c r="A23">
        <f t="shared" si="0"/>
        <v>-0.4500000000000001</v>
      </c>
      <c r="B23" s="27">
        <f t="shared" si="1"/>
        <v>-0.0004500000000000001</v>
      </c>
      <c r="C23" s="11">
        <f t="shared" si="2"/>
        <v>0.2600000000000002</v>
      </c>
      <c r="D23" s="11">
        <f t="shared" si="3"/>
        <v>0.0002600000000000002</v>
      </c>
      <c r="E23" s="11">
        <f t="shared" si="4"/>
        <v>1.1600000000000004</v>
      </c>
      <c r="F23" s="11">
        <f t="shared" si="5"/>
        <v>0.0011600000000000004</v>
      </c>
      <c r="G23" s="34">
        <f t="shared" si="6"/>
        <v>72.7826778989308</v>
      </c>
      <c r="H23" s="34">
        <f t="shared" si="7"/>
        <v>16.31335883941553</v>
      </c>
      <c r="I23" s="34">
        <f t="shared" si="8"/>
        <v>-56.46931905951525</v>
      </c>
      <c r="K23" s="33"/>
    </row>
    <row r="24" spans="1:11" ht="12.75">
      <c r="A24">
        <f t="shared" si="0"/>
        <v>-0.40000000000000013</v>
      </c>
      <c r="B24" s="27">
        <f t="shared" si="1"/>
        <v>-0.00040000000000000013</v>
      </c>
      <c r="C24" s="11">
        <f t="shared" si="2"/>
        <v>0.31000000000000016</v>
      </c>
      <c r="D24" s="11">
        <f t="shared" si="3"/>
        <v>0.00031000000000000016</v>
      </c>
      <c r="E24" s="11">
        <f t="shared" si="4"/>
        <v>1.1100000000000003</v>
      </c>
      <c r="F24" s="11">
        <f t="shared" si="5"/>
        <v>0.0011100000000000003</v>
      </c>
      <c r="G24" s="34">
        <f t="shared" si="6"/>
        <v>61.04353630232907</v>
      </c>
      <c r="H24" s="34">
        <f t="shared" si="7"/>
        <v>17.048194823172988</v>
      </c>
      <c r="I24" s="34">
        <f t="shared" si="8"/>
        <v>-43.995341479156075</v>
      </c>
      <c r="K24" s="33"/>
    </row>
    <row r="25" spans="1:11" ht="12.75">
      <c r="A25">
        <f t="shared" si="0"/>
        <v>-0.35000000000000014</v>
      </c>
      <c r="B25" s="27">
        <f t="shared" si="1"/>
        <v>-0.00035000000000000016</v>
      </c>
      <c r="C25" s="11">
        <f t="shared" si="2"/>
        <v>0.36000000000000015</v>
      </c>
      <c r="D25" s="11">
        <f t="shared" si="3"/>
        <v>0.00036000000000000013</v>
      </c>
      <c r="E25" s="11">
        <f t="shared" si="4"/>
        <v>1.0600000000000005</v>
      </c>
      <c r="F25" s="11">
        <f t="shared" si="5"/>
        <v>0.0010600000000000004</v>
      </c>
      <c r="G25" s="34">
        <f t="shared" si="6"/>
        <v>52.56526737145004</v>
      </c>
      <c r="H25" s="34">
        <f t="shared" si="7"/>
        <v>17.852354956341525</v>
      </c>
      <c r="I25" s="34">
        <f t="shared" si="8"/>
        <v>-34.71291241510851</v>
      </c>
      <c r="K25" s="33"/>
    </row>
    <row r="26" spans="1:11" ht="12.75">
      <c r="A26">
        <f t="shared" si="0"/>
        <v>-0.30000000000000016</v>
      </c>
      <c r="B26" s="27">
        <f t="shared" si="1"/>
        <v>-0.00030000000000000014</v>
      </c>
      <c r="C26" s="11">
        <f t="shared" si="2"/>
        <v>0.41000000000000014</v>
      </c>
      <c r="D26" s="11">
        <f t="shared" si="3"/>
        <v>0.00041000000000000015</v>
      </c>
      <c r="E26" s="11">
        <f t="shared" si="4"/>
        <v>1.0100000000000005</v>
      </c>
      <c r="F26" s="11">
        <f t="shared" si="5"/>
        <v>0.0010100000000000005</v>
      </c>
      <c r="G26" s="34">
        <f t="shared" si="6"/>
        <v>46.15486891151711</v>
      </c>
      <c r="H26" s="34">
        <f t="shared" si="7"/>
        <v>18.73613490467526</v>
      </c>
      <c r="I26" s="34">
        <f t="shared" si="8"/>
        <v>-27.418734006841845</v>
      </c>
      <c r="K26" s="33"/>
    </row>
    <row r="27" spans="1:11" ht="12.75">
      <c r="A27">
        <f t="shared" si="0"/>
        <v>-0.25000000000000017</v>
      </c>
      <c r="B27" s="27">
        <f t="shared" si="1"/>
        <v>-0.00025000000000000017</v>
      </c>
      <c r="C27" s="11">
        <f t="shared" si="2"/>
        <v>0.46000000000000013</v>
      </c>
      <c r="D27" s="11">
        <f t="shared" si="3"/>
        <v>0.0004600000000000001</v>
      </c>
      <c r="E27" s="11">
        <f t="shared" si="4"/>
        <v>0.9600000000000004</v>
      </c>
      <c r="F27" s="11">
        <f t="shared" si="5"/>
        <v>0.0009600000000000005</v>
      </c>
      <c r="G27" s="34">
        <f t="shared" si="6"/>
        <v>41.1380353341783</v>
      </c>
      <c r="H27" s="34">
        <f t="shared" si="7"/>
        <v>19.711975264293766</v>
      </c>
      <c r="I27" s="34">
        <f t="shared" si="8"/>
        <v>-21.426060069884528</v>
      </c>
      <c r="K27" s="33"/>
    </row>
    <row r="28" spans="1:11" ht="12.75">
      <c r="A28">
        <f t="shared" si="0"/>
        <v>-0.20000000000000018</v>
      </c>
      <c r="B28" s="27">
        <f t="shared" si="1"/>
        <v>-0.00020000000000000017</v>
      </c>
      <c r="C28" s="11">
        <f t="shared" si="2"/>
        <v>0.5100000000000001</v>
      </c>
      <c r="D28" s="11">
        <f t="shared" si="3"/>
        <v>0.0005100000000000001</v>
      </c>
      <c r="E28" s="11">
        <f t="shared" si="4"/>
        <v>0.9100000000000005</v>
      </c>
      <c r="F28" s="11">
        <f t="shared" si="5"/>
        <v>0.0009100000000000004</v>
      </c>
      <c r="G28" s="34">
        <f t="shared" si="6"/>
        <v>37.10489461514121</v>
      </c>
      <c r="H28" s="34">
        <f t="shared" si="7"/>
        <v>20.79505082826595</v>
      </c>
      <c r="I28" s="34">
        <f t="shared" si="8"/>
        <v>-16.309843786875263</v>
      </c>
      <c r="K28" s="33"/>
    </row>
    <row r="29" spans="1:11" ht="12.75">
      <c r="A29">
        <f t="shared" si="0"/>
        <v>-0.15000000000000013</v>
      </c>
      <c r="B29" s="27">
        <f t="shared" si="1"/>
        <v>-0.00015000000000000012</v>
      </c>
      <c r="C29" s="11">
        <f t="shared" si="2"/>
        <v>0.5600000000000002</v>
      </c>
      <c r="D29" s="11">
        <f t="shared" si="3"/>
        <v>0.0005600000000000002</v>
      </c>
      <c r="E29" s="11">
        <f t="shared" si="4"/>
        <v>0.8600000000000004</v>
      </c>
      <c r="F29" s="11">
        <f t="shared" si="5"/>
        <v>0.0008600000000000004</v>
      </c>
      <c r="G29" s="34">
        <f t="shared" si="6"/>
        <v>33.79195759593217</v>
      </c>
      <c r="H29" s="34">
        <f t="shared" si="7"/>
        <v>22.004065411304666</v>
      </c>
      <c r="I29" s="34">
        <f t="shared" si="8"/>
        <v>-11.787892184627502</v>
      </c>
      <c r="K29" s="33"/>
    </row>
    <row r="30" spans="1:11" ht="12.75">
      <c r="A30">
        <f t="shared" si="0"/>
        <v>-0.10000000000000009</v>
      </c>
      <c r="B30" s="27">
        <f t="shared" si="1"/>
        <v>-0.00010000000000000009</v>
      </c>
      <c r="C30" s="11">
        <f t="shared" si="2"/>
        <v>0.6100000000000002</v>
      </c>
      <c r="D30" s="11">
        <f t="shared" si="3"/>
        <v>0.0006100000000000002</v>
      </c>
      <c r="E30" s="11">
        <f t="shared" si="4"/>
        <v>0.8100000000000004</v>
      </c>
      <c r="F30" s="11">
        <f t="shared" si="5"/>
        <v>0.0008100000000000004</v>
      </c>
      <c r="G30" s="34">
        <f t="shared" si="6"/>
        <v>31.022125006101664</v>
      </c>
      <c r="H30" s="34">
        <f t="shared" si="7"/>
        <v>23.362341053977794</v>
      </c>
      <c r="I30" s="34">
        <f t="shared" si="8"/>
        <v>-7.6597839521238695</v>
      </c>
      <c r="K30" s="33"/>
    </row>
    <row r="31" spans="1:11" ht="12.75">
      <c r="A31">
        <f t="shared" si="0"/>
        <v>-0.050000000000000044</v>
      </c>
      <c r="B31" s="27">
        <f t="shared" si="1"/>
        <v>-5.000000000000004E-05</v>
      </c>
      <c r="C31" s="11">
        <f t="shared" si="2"/>
        <v>0.6600000000000003</v>
      </c>
      <c r="D31" s="11">
        <f t="shared" si="3"/>
        <v>0.0006600000000000002</v>
      </c>
      <c r="E31" s="11">
        <f t="shared" si="4"/>
        <v>0.7600000000000003</v>
      </c>
      <c r="F31" s="11">
        <f t="shared" si="5"/>
        <v>0.0007600000000000004</v>
      </c>
      <c r="G31" s="34">
        <f t="shared" si="6"/>
        <v>28.671964020790934</v>
      </c>
      <c r="H31" s="34">
        <f t="shared" si="7"/>
        <v>24.899337175950016</v>
      </c>
      <c r="I31" s="34">
        <f t="shared" si="8"/>
        <v>-3.772626844840913</v>
      </c>
      <c r="K31" s="33"/>
    </row>
    <row r="32" spans="1:12" ht="12.75">
      <c r="A32" s="9">
        <f t="shared" si="0"/>
        <v>0</v>
      </c>
      <c r="B32" s="23">
        <f t="shared" si="1"/>
        <v>0</v>
      </c>
      <c r="C32" s="9">
        <f>C1</f>
        <v>0.7100000000000003</v>
      </c>
      <c r="D32" s="9">
        <f t="shared" si="3"/>
        <v>0.0007100000000000003</v>
      </c>
      <c r="E32" s="9">
        <f t="shared" si="4"/>
        <v>0.7100000000000003</v>
      </c>
      <c r="F32" s="9">
        <f t="shared" si="5"/>
        <v>0.0007100000000000003</v>
      </c>
      <c r="G32" s="35">
        <f>$B$3*$C$4/$D$32*1000000000000</f>
        <v>26.652811624960584</v>
      </c>
      <c r="H32" s="35">
        <f t="shared" si="7"/>
        <v>26.652811624960584</v>
      </c>
      <c r="I32" s="35">
        <f t="shared" si="8"/>
        <v>0</v>
      </c>
      <c r="J32" s="33">
        <f>H32-H31</f>
        <v>1.753474449010568</v>
      </c>
      <c r="K32" s="34"/>
      <c r="L32" s="11"/>
    </row>
    <row r="33" spans="1:13" ht="12.75">
      <c r="A33">
        <f t="shared" si="0"/>
        <v>0.050000000000000044</v>
      </c>
      <c r="B33" s="27">
        <f t="shared" si="1"/>
        <v>5.000000000000004E-05</v>
      </c>
      <c r="C33" s="11">
        <f aca="true" t="shared" si="9" ref="C33:C46">C32+0.05</f>
        <v>0.7600000000000003</v>
      </c>
      <c r="D33" s="11">
        <f t="shared" si="3"/>
        <v>0.0007600000000000004</v>
      </c>
      <c r="E33" s="11">
        <f t="shared" si="4"/>
        <v>0.6600000000000003</v>
      </c>
      <c r="F33" s="11">
        <f t="shared" si="5"/>
        <v>0.0006600000000000002</v>
      </c>
      <c r="G33" s="34">
        <f aca="true" t="shared" si="10" ref="G33:G46">$B$3*$C$4/D33*1000000000000</f>
        <v>24.899337175950016</v>
      </c>
      <c r="H33" s="34">
        <f t="shared" si="7"/>
        <v>28.671964020790934</v>
      </c>
      <c r="I33" s="34">
        <f t="shared" si="8"/>
        <v>3.772626844840913</v>
      </c>
      <c r="K33" s="33"/>
      <c r="L33" s="24"/>
      <c r="M33" s="24"/>
    </row>
    <row r="34" spans="1:11" ht="12.75">
      <c r="A34">
        <f t="shared" si="0"/>
        <v>0.10000000000000009</v>
      </c>
      <c r="B34" s="27">
        <f t="shared" si="1"/>
        <v>0.00010000000000000009</v>
      </c>
      <c r="C34" s="11">
        <f t="shared" si="9"/>
        <v>0.8100000000000004</v>
      </c>
      <c r="D34" s="11">
        <f t="shared" si="3"/>
        <v>0.0008100000000000004</v>
      </c>
      <c r="E34" s="11">
        <f t="shared" si="4"/>
        <v>0.6100000000000002</v>
      </c>
      <c r="F34" s="11">
        <f t="shared" si="5"/>
        <v>0.0006100000000000002</v>
      </c>
      <c r="G34" s="34">
        <f t="shared" si="10"/>
        <v>23.362341053977794</v>
      </c>
      <c r="H34" s="34">
        <f t="shared" si="7"/>
        <v>31.022125006101664</v>
      </c>
      <c r="I34" s="34">
        <f t="shared" si="8"/>
        <v>7.6597839521238695</v>
      </c>
      <c r="K34" s="33"/>
    </row>
    <row r="35" spans="1:11" ht="12.75">
      <c r="A35">
        <f t="shared" si="0"/>
        <v>0.15000000000000013</v>
      </c>
      <c r="B35" s="27">
        <f t="shared" si="1"/>
        <v>0.00015000000000000012</v>
      </c>
      <c r="C35" s="11">
        <f t="shared" si="9"/>
        <v>0.8600000000000004</v>
      </c>
      <c r="D35" s="11">
        <f t="shared" si="3"/>
        <v>0.0008600000000000004</v>
      </c>
      <c r="E35" s="11">
        <f t="shared" si="4"/>
        <v>0.5600000000000002</v>
      </c>
      <c r="F35" s="11">
        <f t="shared" si="5"/>
        <v>0.0005600000000000002</v>
      </c>
      <c r="G35" s="34">
        <f t="shared" si="10"/>
        <v>22.004065411304666</v>
      </c>
      <c r="H35" s="34">
        <f t="shared" si="7"/>
        <v>33.79195759593217</v>
      </c>
      <c r="I35" s="34">
        <f t="shared" si="8"/>
        <v>11.787892184627502</v>
      </c>
      <c r="K35" s="33"/>
    </row>
    <row r="36" spans="1:11" ht="12.75">
      <c r="A36">
        <f t="shared" si="0"/>
        <v>0.20000000000000018</v>
      </c>
      <c r="B36" s="27">
        <f t="shared" si="1"/>
        <v>0.00020000000000000017</v>
      </c>
      <c r="C36" s="11">
        <f t="shared" si="9"/>
        <v>0.9100000000000005</v>
      </c>
      <c r="D36" s="11">
        <f t="shared" si="3"/>
        <v>0.0009100000000000004</v>
      </c>
      <c r="E36" s="11">
        <f t="shared" si="4"/>
        <v>0.5100000000000001</v>
      </c>
      <c r="F36" s="11">
        <f t="shared" si="5"/>
        <v>0.0005100000000000001</v>
      </c>
      <c r="G36" s="34">
        <f t="shared" si="10"/>
        <v>20.79505082826595</v>
      </c>
      <c r="H36" s="34">
        <f t="shared" si="7"/>
        <v>37.10489461514121</v>
      </c>
      <c r="I36" s="34">
        <f t="shared" si="8"/>
        <v>16.309843786875263</v>
      </c>
      <c r="K36" s="33"/>
    </row>
    <row r="37" spans="1:11" ht="12.75">
      <c r="A37">
        <f t="shared" si="0"/>
        <v>0.2500000000000002</v>
      </c>
      <c r="B37" s="27">
        <f t="shared" si="1"/>
        <v>0.0002500000000000002</v>
      </c>
      <c r="C37" s="11">
        <f t="shared" si="9"/>
        <v>0.9600000000000005</v>
      </c>
      <c r="D37" s="11">
        <f t="shared" si="3"/>
        <v>0.0009600000000000006</v>
      </c>
      <c r="E37" s="11">
        <f t="shared" si="4"/>
        <v>0.4600000000000001</v>
      </c>
      <c r="F37" s="11">
        <f t="shared" si="5"/>
        <v>0.00046000000000000007</v>
      </c>
      <c r="G37" s="34">
        <f t="shared" si="10"/>
        <v>19.711975264293763</v>
      </c>
      <c r="H37" s="34">
        <f t="shared" si="7"/>
        <v>41.1380353341783</v>
      </c>
      <c r="I37" s="34">
        <f t="shared" si="8"/>
        <v>21.42606006988454</v>
      </c>
      <c r="K37" s="33"/>
    </row>
    <row r="38" spans="1:11" ht="12.75">
      <c r="A38">
        <f t="shared" si="0"/>
        <v>0.30000000000000016</v>
      </c>
      <c r="B38" s="27">
        <f t="shared" si="1"/>
        <v>0.00030000000000000014</v>
      </c>
      <c r="C38" s="11">
        <f t="shared" si="9"/>
        <v>1.0100000000000005</v>
      </c>
      <c r="D38" s="11">
        <f t="shared" si="3"/>
        <v>0.0010100000000000005</v>
      </c>
      <c r="E38" s="11">
        <f t="shared" si="4"/>
        <v>0.41000000000000014</v>
      </c>
      <c r="F38" s="11">
        <f t="shared" si="5"/>
        <v>0.00041000000000000015</v>
      </c>
      <c r="G38" s="34">
        <f t="shared" si="10"/>
        <v>18.73613490467526</v>
      </c>
      <c r="H38" s="34">
        <f t="shared" si="7"/>
        <v>46.15486891151711</v>
      </c>
      <c r="I38" s="34">
        <f t="shared" si="8"/>
        <v>27.418734006841845</v>
      </c>
      <c r="K38" s="33"/>
    </row>
    <row r="39" spans="1:11" ht="12.75">
      <c r="A39">
        <f t="shared" si="0"/>
        <v>0.3500000000000002</v>
      </c>
      <c r="B39" s="27">
        <f t="shared" si="1"/>
        <v>0.0003500000000000002</v>
      </c>
      <c r="C39" s="11">
        <f t="shared" si="9"/>
        <v>1.0600000000000005</v>
      </c>
      <c r="D39" s="11">
        <f t="shared" si="3"/>
        <v>0.0010600000000000004</v>
      </c>
      <c r="E39" s="11">
        <f t="shared" si="4"/>
        <v>0.3600000000000001</v>
      </c>
      <c r="F39" s="11">
        <f t="shared" si="5"/>
        <v>0.0003600000000000001</v>
      </c>
      <c r="G39" s="34">
        <f t="shared" si="10"/>
        <v>17.852354956341525</v>
      </c>
      <c r="H39" s="34">
        <f t="shared" si="7"/>
        <v>52.56526737145005</v>
      </c>
      <c r="I39" s="34">
        <f t="shared" si="8"/>
        <v>34.71291241510852</v>
      </c>
      <c r="K39" s="33"/>
    </row>
    <row r="40" spans="1:11" ht="12.75">
      <c r="A40">
        <f t="shared" si="0"/>
        <v>0.40000000000000024</v>
      </c>
      <c r="B40" s="27">
        <f t="shared" si="1"/>
        <v>0.00040000000000000024</v>
      </c>
      <c r="C40" s="11">
        <f t="shared" si="9"/>
        <v>1.1100000000000005</v>
      </c>
      <c r="D40" s="11">
        <f t="shared" si="3"/>
        <v>0.0011100000000000005</v>
      </c>
      <c r="E40" s="11">
        <f t="shared" si="4"/>
        <v>0.31000000000000005</v>
      </c>
      <c r="F40" s="11">
        <f t="shared" si="5"/>
        <v>0.00031000000000000005</v>
      </c>
      <c r="G40" s="34">
        <f t="shared" si="10"/>
        <v>17.048194823172985</v>
      </c>
      <c r="H40" s="34">
        <f t="shared" si="7"/>
        <v>61.04353630232909</v>
      </c>
      <c r="I40" s="34">
        <f t="shared" si="8"/>
        <v>43.995341479156096</v>
      </c>
      <c r="K40" s="33"/>
    </row>
    <row r="41" spans="1:11" ht="12.75">
      <c r="A41">
        <f t="shared" si="0"/>
        <v>0.4500000000000003</v>
      </c>
      <c r="B41" s="27">
        <f t="shared" si="1"/>
        <v>0.0004500000000000003</v>
      </c>
      <c r="C41" s="11">
        <f t="shared" si="9"/>
        <v>1.1600000000000006</v>
      </c>
      <c r="D41" s="11">
        <f t="shared" si="3"/>
        <v>0.0011600000000000007</v>
      </c>
      <c r="E41" s="11">
        <f t="shared" si="4"/>
        <v>0.26</v>
      </c>
      <c r="F41" s="11">
        <f t="shared" si="5"/>
        <v>0.00026000000000000003</v>
      </c>
      <c r="G41" s="34">
        <f t="shared" si="10"/>
        <v>16.313358839415528</v>
      </c>
      <c r="H41" s="34">
        <f t="shared" si="7"/>
        <v>72.78267789893084</v>
      </c>
      <c r="I41" s="34">
        <f t="shared" si="8"/>
        <v>56.469319059515314</v>
      </c>
      <c r="K41" s="33"/>
    </row>
    <row r="42" spans="1:11" ht="12.75">
      <c r="A42">
        <f t="shared" si="0"/>
        <v>0.5000000000000003</v>
      </c>
      <c r="B42" s="27">
        <f t="shared" si="1"/>
        <v>0.0005000000000000003</v>
      </c>
      <c r="C42" s="11">
        <f t="shared" si="9"/>
        <v>1.2100000000000006</v>
      </c>
      <c r="D42" s="11">
        <f t="shared" si="3"/>
        <v>0.0012100000000000006</v>
      </c>
      <c r="E42" s="11">
        <f t="shared" si="4"/>
        <v>0.20999999999999996</v>
      </c>
      <c r="F42" s="11">
        <f t="shared" si="5"/>
        <v>0.00020999999999999995</v>
      </c>
      <c r="G42" s="34">
        <f t="shared" si="10"/>
        <v>15.639253102249597</v>
      </c>
      <c r="H42" s="34">
        <f t="shared" si="7"/>
        <v>90.11188692248585</v>
      </c>
      <c r="I42" s="34">
        <f t="shared" si="8"/>
        <v>74.47263382023621</v>
      </c>
      <c r="K42" s="33"/>
    </row>
    <row r="43" spans="1:11" ht="12.75">
      <c r="A43">
        <f t="shared" si="0"/>
        <v>0.5500000000000004</v>
      </c>
      <c r="B43" s="27">
        <f t="shared" si="1"/>
        <v>0.0005500000000000004</v>
      </c>
      <c r="C43" s="11">
        <f t="shared" si="9"/>
        <v>1.2600000000000007</v>
      </c>
      <c r="D43" s="11">
        <f t="shared" si="3"/>
        <v>0.0012600000000000007</v>
      </c>
      <c r="E43" s="11">
        <f t="shared" si="4"/>
        <v>0.15999999999999992</v>
      </c>
      <c r="F43" s="11">
        <f t="shared" si="5"/>
        <v>0.00015999999999999993</v>
      </c>
      <c r="G43" s="34">
        <f t="shared" si="10"/>
        <v>15.018647820414296</v>
      </c>
      <c r="H43" s="34">
        <f t="shared" si="7"/>
        <v>118.27185158576269</v>
      </c>
      <c r="I43" s="34">
        <f t="shared" si="8"/>
        <v>103.25320376534835</v>
      </c>
      <c r="K43" s="33"/>
    </row>
    <row r="44" spans="1:11" ht="12.75">
      <c r="A44">
        <f t="shared" si="0"/>
        <v>0.6000000000000004</v>
      </c>
      <c r="B44" s="27">
        <f t="shared" si="1"/>
        <v>0.0006000000000000004</v>
      </c>
      <c r="C44" s="11">
        <f t="shared" si="9"/>
        <v>1.3100000000000007</v>
      </c>
      <c r="D44" s="11">
        <f t="shared" si="3"/>
        <v>0.0013100000000000006</v>
      </c>
      <c r="E44" s="11">
        <f t="shared" si="4"/>
        <v>0.10999999999999988</v>
      </c>
      <c r="F44" s="11">
        <f t="shared" si="5"/>
        <v>0.00010999999999999988</v>
      </c>
      <c r="G44" s="34">
        <f t="shared" si="10"/>
        <v>14.445416987574056</v>
      </c>
      <c r="H44" s="34">
        <f t="shared" si="7"/>
        <v>172.03178412474583</v>
      </c>
      <c r="I44" s="34">
        <f t="shared" si="8"/>
        <v>157.58636713717166</v>
      </c>
      <c r="K44" s="33"/>
    </row>
    <row r="45" spans="1:11" ht="12.75">
      <c r="A45">
        <f t="shared" si="0"/>
        <v>0.6500000000000005</v>
      </c>
      <c r="B45" s="27">
        <f t="shared" si="1"/>
        <v>0.0006500000000000005</v>
      </c>
      <c r="C45" s="11">
        <f t="shared" si="9"/>
        <v>1.3600000000000008</v>
      </c>
      <c r="D45" s="11">
        <f t="shared" si="3"/>
        <v>0.0013600000000000007</v>
      </c>
      <c r="E45" s="11">
        <f t="shared" si="4"/>
        <v>0.05999999999999983</v>
      </c>
      <c r="F45" s="11">
        <f t="shared" si="5"/>
        <v>5.999999999999983E-05</v>
      </c>
      <c r="G45" s="34">
        <f t="shared" si="10"/>
        <v>13.91433548067795</v>
      </c>
      <c r="H45" s="34">
        <f t="shared" si="7"/>
        <v>315.3916042287013</v>
      </c>
      <c r="I45" s="34">
        <f t="shared" si="8"/>
        <v>301.4772687480233</v>
      </c>
      <c r="K45" s="33"/>
    </row>
    <row r="46" spans="1:11" ht="12.75">
      <c r="A46">
        <f t="shared" si="0"/>
        <v>0.7000000000000005</v>
      </c>
      <c r="B46" s="27">
        <f t="shared" si="1"/>
        <v>0.0007000000000000005</v>
      </c>
      <c r="C46" s="11">
        <f t="shared" si="9"/>
        <v>1.4100000000000008</v>
      </c>
      <c r="D46" s="11">
        <f t="shared" si="3"/>
        <v>0.0014100000000000009</v>
      </c>
      <c r="E46" s="11">
        <f t="shared" si="4"/>
        <v>0.009999999999999787</v>
      </c>
      <c r="F46" s="11">
        <f t="shared" si="5"/>
        <v>9.999999999999787E-06</v>
      </c>
      <c r="G46" s="34">
        <f t="shared" si="10"/>
        <v>13.420919328880858</v>
      </c>
      <c r="H46" s="34">
        <f t="shared" si="7"/>
        <v>1892.3496253722424</v>
      </c>
      <c r="I46" s="34">
        <f t="shared" si="8"/>
        <v>1878.9287060433512</v>
      </c>
      <c r="K46" s="33"/>
    </row>
    <row r="47" spans="3:10" ht="12.75">
      <c r="C47" s="6"/>
      <c r="D47" s="6"/>
      <c r="H47" s="3"/>
      <c r="I47" s="3"/>
      <c r="J47" s="3"/>
    </row>
    <row r="48" spans="3:10" ht="12.75">
      <c r="C48" s="6"/>
      <c r="D48" s="6"/>
      <c r="H48" s="3"/>
      <c r="I48" s="3"/>
      <c r="J48" s="3"/>
    </row>
    <row r="49" spans="3:10" ht="12.75">
      <c r="C49" s="6"/>
      <c r="D49" s="6"/>
      <c r="H49" s="3"/>
      <c r="I49" s="3"/>
      <c r="J49" s="3"/>
    </row>
    <row r="50" spans="3:10" ht="12.75">
      <c r="C50" s="6"/>
      <c r="D50" s="6"/>
      <c r="H50" s="3"/>
      <c r="I50" s="3"/>
      <c r="J50" s="3"/>
    </row>
    <row r="51" spans="3:10" ht="12.75">
      <c r="C51" s="6"/>
      <c r="D51" s="6"/>
      <c r="H51" s="3"/>
      <c r="I51" s="3"/>
      <c r="J51" s="3"/>
    </row>
    <row r="52" spans="3:10" ht="12.75">
      <c r="C52" s="6"/>
      <c r="D52" s="6"/>
      <c r="H52" s="3"/>
      <c r="I52" s="3"/>
      <c r="J52" s="3"/>
    </row>
    <row r="55" spans="2:10" ht="12.75">
      <c r="B55" s="6"/>
      <c r="C55" s="6"/>
      <c r="D55" s="6"/>
      <c r="I55" s="6"/>
      <c r="J55" s="4"/>
    </row>
    <row r="56" spans="2:10" ht="12.75">
      <c r="B56" s="4"/>
      <c r="C56" s="4"/>
      <c r="D56" s="4"/>
      <c r="F56" s="3"/>
      <c r="I56" s="6"/>
      <c r="J56" s="4"/>
    </row>
    <row r="57" spans="1:9" ht="12.75">
      <c r="A57" s="4"/>
      <c r="F57" s="3"/>
      <c r="I57" s="6"/>
    </row>
    <row r="58" ht="12.75">
      <c r="F58" s="3"/>
    </row>
    <row r="59" ht="12.75">
      <c r="F59" s="3"/>
    </row>
    <row r="60" ht="12.75">
      <c r="F60" s="3"/>
    </row>
    <row r="64" spans="2:5" ht="12.75">
      <c r="B64" s="5"/>
      <c r="C64" s="5"/>
      <c r="D64" s="5"/>
      <c r="E64" s="5"/>
    </row>
    <row r="65" spans="2:5" ht="12.75">
      <c r="B65" s="7"/>
      <c r="C65" s="7"/>
      <c r="D65" s="7"/>
      <c r="E65" s="7"/>
    </row>
    <row r="66" spans="2:5" ht="12.75">
      <c r="B66" s="5"/>
      <c r="C66" s="5"/>
      <c r="D66" s="5"/>
      <c r="E66" s="5"/>
    </row>
    <row r="67" spans="2:5" ht="12.75">
      <c r="B67" s="7"/>
      <c r="C67" s="7"/>
      <c r="D67" s="7"/>
      <c r="E67" s="7"/>
    </row>
    <row r="68" spans="2:5" ht="12.75">
      <c r="B68" s="5"/>
      <c r="C68" s="5"/>
      <c r="D68" s="5"/>
      <c r="E68" s="5"/>
    </row>
    <row r="69" spans="2:5" ht="12.75">
      <c r="B69" s="3"/>
      <c r="C69" s="3"/>
      <c r="D69" s="3"/>
      <c r="E69" s="1"/>
    </row>
    <row r="70" spans="2:5" ht="12.75">
      <c r="B70" s="5"/>
      <c r="C70" s="5"/>
      <c r="D70" s="5"/>
      <c r="E70" s="5"/>
    </row>
    <row r="71" spans="2:5" ht="12.75">
      <c r="B71" s="3"/>
      <c r="C71" s="3"/>
      <c r="D71" s="3"/>
      <c r="E71" s="1"/>
    </row>
  </sheetData>
  <sheetProtection sheet="1" objects="1" scenarios="1"/>
  <mergeCells count="2">
    <mergeCell ref="L16:M16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0">
      <selection activeCell="B12" sqref="B12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3" max="3" width="9.00390625" style="0" customWidth="1"/>
    <col min="4" max="4" width="11.421875" style="0" customWidth="1"/>
    <col min="7" max="8" width="9.57421875" style="0" bestFit="1" customWidth="1"/>
    <col min="9" max="9" width="10.28125" style="0" bestFit="1" customWidth="1"/>
    <col min="10" max="10" width="10.00390625" style="0" customWidth="1"/>
    <col min="11" max="11" width="9.57421875" style="0" bestFit="1" customWidth="1"/>
    <col min="12" max="12" width="12.28125" style="0" bestFit="1" customWidth="1"/>
  </cols>
  <sheetData>
    <row r="1" spans="1:6" ht="15">
      <c r="A1" t="s">
        <v>25</v>
      </c>
      <c r="B1" s="37">
        <f>1/32</f>
        <v>0.03125</v>
      </c>
      <c r="C1" s="38">
        <f>B1*25.4</f>
        <v>0.79375</v>
      </c>
      <c r="D1" t="s">
        <v>27</v>
      </c>
      <c r="E1">
        <f>C1/1000</f>
        <v>0.00079375</v>
      </c>
      <c r="F1" t="s">
        <v>5</v>
      </c>
    </row>
    <row r="2" spans="1:6" ht="15">
      <c r="A2" t="s">
        <v>26</v>
      </c>
      <c r="B2" s="37">
        <f>1/32</f>
        <v>0.03125</v>
      </c>
      <c r="C2" s="38">
        <f>B2*25.4</f>
        <v>0.79375</v>
      </c>
      <c r="D2" t="s">
        <v>27</v>
      </c>
      <c r="E2">
        <f>C2/1000</f>
        <v>0.00079375</v>
      </c>
      <c r="F2" t="s">
        <v>5</v>
      </c>
    </row>
    <row r="3" spans="1:2" ht="18">
      <c r="A3" s="2" t="s">
        <v>1</v>
      </c>
      <c r="B3" s="26">
        <v>8.854E-12</v>
      </c>
    </row>
    <row r="4" spans="1:4" ht="15">
      <c r="A4" t="s">
        <v>0</v>
      </c>
      <c r="B4" s="21">
        <f>$B$15*645.16</f>
        <v>908.5457716815744</v>
      </c>
      <c r="C4" s="25">
        <f>B4*0.000001</f>
        <v>0.0009085457716815743</v>
      </c>
      <c r="D4" t="s">
        <v>2</v>
      </c>
    </row>
    <row r="5" spans="1:3" ht="12.75">
      <c r="A5" t="s">
        <v>11</v>
      </c>
      <c r="B5" s="11">
        <v>4.2</v>
      </c>
      <c r="C5" s="4" t="s">
        <v>12</v>
      </c>
    </row>
    <row r="6" spans="1:4" ht="15">
      <c r="A6" t="s">
        <v>19</v>
      </c>
      <c r="B6" s="28">
        <v>0.062</v>
      </c>
      <c r="C6">
        <f>B6*0.0254</f>
        <v>0.0015748</v>
      </c>
      <c r="D6" t="s">
        <v>5</v>
      </c>
    </row>
    <row r="7" spans="1:3" ht="12.75">
      <c r="A7" t="s">
        <v>13</v>
      </c>
      <c r="B7" s="10">
        <f>$B$5*$B$3*$C$4/$C$6*1000000000000</f>
        <v>21.454095696195306</v>
      </c>
      <c r="C7" t="s">
        <v>14</v>
      </c>
    </row>
    <row r="8" ht="18">
      <c r="A8" t="s">
        <v>6</v>
      </c>
    </row>
    <row r="9" spans="1:3" ht="12.75">
      <c r="A9" t="s">
        <v>28</v>
      </c>
      <c r="B9" s="10">
        <f>-$B$3*$C$4*1000000000/$D$33/$D$33</f>
        <v>-12.767881773153801</v>
      </c>
      <c r="C9" t="s">
        <v>29</v>
      </c>
    </row>
    <row r="10" spans="7:9" ht="13.5" thickBot="1">
      <c r="G10" s="155"/>
      <c r="H10" s="155"/>
      <c r="I10" s="155"/>
    </row>
    <row r="11" spans="1:6" ht="12.75">
      <c r="A11" s="18" t="s">
        <v>16</v>
      </c>
      <c r="B11" s="29">
        <v>0.95</v>
      </c>
      <c r="C11" s="12"/>
      <c r="D11" s="13"/>
      <c r="F11" s="14"/>
    </row>
    <row r="12" spans="1:6" ht="12.75">
      <c r="A12" s="16" t="s">
        <v>17</v>
      </c>
      <c r="B12" s="30">
        <v>2.05</v>
      </c>
      <c r="C12" s="14"/>
      <c r="D12" s="15"/>
      <c r="F12" s="14"/>
    </row>
    <row r="13" spans="1:6" ht="12.75">
      <c r="A13" s="16" t="s">
        <v>18</v>
      </c>
      <c r="B13" s="31">
        <v>0.104</v>
      </c>
      <c r="C13" s="32">
        <v>60</v>
      </c>
      <c r="D13" s="15" t="s">
        <v>10</v>
      </c>
      <c r="F13" s="11"/>
    </row>
    <row r="14" spans="1:6" ht="12.75">
      <c r="A14" s="16" t="s">
        <v>77</v>
      </c>
      <c r="B14" s="31">
        <v>0.194</v>
      </c>
      <c r="C14" s="32">
        <v>1</v>
      </c>
      <c r="D14" s="15" t="s">
        <v>10</v>
      </c>
      <c r="F14" s="11"/>
    </row>
    <row r="15" spans="1:6" ht="15.75" thickBot="1">
      <c r="A15" s="17" t="s">
        <v>9</v>
      </c>
      <c r="B15" s="20">
        <f>$B$11*$B$12-($C$13*$B$13*$B$13+C14*B14*B14)*PI()/4</f>
        <v>1.4082487626039655</v>
      </c>
      <c r="C15" s="19" t="s">
        <v>15</v>
      </c>
      <c r="D15" s="36"/>
      <c r="F15" s="14"/>
    </row>
    <row r="17" spans="1:13" ht="15">
      <c r="A17" s="8" t="s">
        <v>23</v>
      </c>
      <c r="B17" s="8" t="s">
        <v>7</v>
      </c>
      <c r="C17" s="5" t="s">
        <v>24</v>
      </c>
      <c r="D17" s="5" t="s">
        <v>20</v>
      </c>
      <c r="E17" s="5" t="s">
        <v>21</v>
      </c>
      <c r="F17" s="5" t="s">
        <v>22</v>
      </c>
      <c r="G17" s="5" t="s">
        <v>3</v>
      </c>
      <c r="H17" s="5" t="s">
        <v>4</v>
      </c>
      <c r="I17" s="8" t="s">
        <v>8</v>
      </c>
      <c r="L17" s="156"/>
      <c r="M17" s="156"/>
    </row>
    <row r="18" spans="2:13" ht="12.75">
      <c r="B18" s="6"/>
      <c r="C18" s="11"/>
      <c r="G18" s="3"/>
      <c r="H18" s="3"/>
      <c r="I18" s="3"/>
      <c r="L18" s="5"/>
      <c r="M18" s="5"/>
    </row>
    <row r="19" spans="1:11" ht="12.75">
      <c r="A19">
        <f aca="true" t="shared" si="0" ref="A19:A47">C19-C$1</f>
        <v>-0.7000000000000002</v>
      </c>
      <c r="B19" s="22">
        <f aca="true" t="shared" si="1" ref="B19:B47">A19/1000</f>
        <v>-0.0007000000000000002</v>
      </c>
      <c r="C19" s="11">
        <f aca="true" t="shared" si="2" ref="C19:C32">C20-0.05</f>
        <v>0.09374999999999982</v>
      </c>
      <c r="D19">
        <f aca="true" t="shared" si="3" ref="D19:D47">C19/1000</f>
        <v>9.374999999999983E-05</v>
      </c>
      <c r="E19">
        <f aca="true" t="shared" si="4" ref="E19:E47">$C$1+$C$2-C19</f>
        <v>1.4937500000000001</v>
      </c>
      <c r="F19">
        <f aca="true" t="shared" si="5" ref="F19:F47">E19/1000</f>
        <v>0.00149375</v>
      </c>
      <c r="G19" s="33">
        <f aca="true" t="shared" si="6" ref="G19:G32">$B$3*$C$4/D19*1000000000000</f>
        <v>85.80548546633251</v>
      </c>
      <c r="H19" s="33">
        <f aca="true" t="shared" si="7" ref="H19:H47">$B$3*$C$4/F19*1000000000000</f>
        <v>5.38528151462337</v>
      </c>
      <c r="I19" s="33">
        <f aca="true" t="shared" si="8" ref="I19:I47">2*$B$3*$C$4*$B19/($E$1*$E$2-$B19*$B19)*1000000000000</f>
        <v>-80.42020395170918</v>
      </c>
      <c r="K19" s="25"/>
    </row>
    <row r="20" spans="1:11" ht="12.75">
      <c r="A20">
        <f t="shared" si="0"/>
        <v>-0.6500000000000001</v>
      </c>
      <c r="B20" s="22">
        <f t="shared" si="1"/>
        <v>-0.0006500000000000002</v>
      </c>
      <c r="C20" s="11">
        <f t="shared" si="2"/>
        <v>0.14374999999999982</v>
      </c>
      <c r="D20">
        <f t="shared" si="3"/>
        <v>0.00014374999999999983</v>
      </c>
      <c r="E20">
        <f t="shared" si="4"/>
        <v>1.44375</v>
      </c>
      <c r="F20">
        <f t="shared" si="5"/>
        <v>0.0014437500000000002</v>
      </c>
      <c r="G20" s="33">
        <f t="shared" si="6"/>
        <v>55.960099217173344</v>
      </c>
      <c r="H20" s="33">
        <f t="shared" si="7"/>
        <v>5.571784770541061</v>
      </c>
      <c r="I20" s="33">
        <f t="shared" si="8"/>
        <v>-50.3883144466323</v>
      </c>
      <c r="K20" s="25"/>
    </row>
    <row r="21" spans="1:11" ht="12.75">
      <c r="A21">
        <f t="shared" si="0"/>
        <v>-0.6000000000000001</v>
      </c>
      <c r="B21" s="22">
        <f t="shared" si="1"/>
        <v>-0.0006000000000000001</v>
      </c>
      <c r="C21" s="11">
        <f t="shared" si="2"/>
        <v>0.1937499999999998</v>
      </c>
      <c r="D21">
        <f t="shared" si="3"/>
        <v>0.0001937499999999998</v>
      </c>
      <c r="E21">
        <f t="shared" si="4"/>
        <v>1.39375</v>
      </c>
      <c r="F21">
        <f t="shared" si="5"/>
        <v>0.00139375</v>
      </c>
      <c r="G21" s="33">
        <f t="shared" si="6"/>
        <v>41.51878329016086</v>
      </c>
      <c r="H21" s="33">
        <f t="shared" si="7"/>
        <v>5.771669425986482</v>
      </c>
      <c r="I21" s="33">
        <f t="shared" si="8"/>
        <v>-35.747113864174345</v>
      </c>
      <c r="K21" s="25"/>
    </row>
    <row r="22" spans="1:11" ht="12.75">
      <c r="A22">
        <f t="shared" si="0"/>
        <v>-0.5500000000000002</v>
      </c>
      <c r="B22" s="27">
        <f t="shared" si="1"/>
        <v>-0.0005500000000000001</v>
      </c>
      <c r="C22" s="11">
        <f t="shared" si="2"/>
        <v>0.2437499999999998</v>
      </c>
      <c r="D22" s="11">
        <f t="shared" si="3"/>
        <v>0.0002437499999999998</v>
      </c>
      <c r="E22" s="11">
        <f t="shared" si="4"/>
        <v>1.34375</v>
      </c>
      <c r="F22" s="11">
        <f t="shared" si="5"/>
        <v>0.00134375</v>
      </c>
      <c r="G22" s="34">
        <f t="shared" si="6"/>
        <v>33.00210979474324</v>
      </c>
      <c r="H22" s="34">
        <f t="shared" si="7"/>
        <v>5.9864292185813275</v>
      </c>
      <c r="I22" s="34">
        <f t="shared" si="8"/>
        <v>-27.01568057616191</v>
      </c>
      <c r="K22" s="25"/>
    </row>
    <row r="23" spans="1:11" ht="12.75">
      <c r="A23">
        <f t="shared" si="0"/>
        <v>-0.5000000000000002</v>
      </c>
      <c r="B23" s="27">
        <f t="shared" si="1"/>
        <v>-0.0005000000000000002</v>
      </c>
      <c r="C23" s="11">
        <f t="shared" si="2"/>
        <v>0.2937499999999998</v>
      </c>
      <c r="D23" s="11">
        <f t="shared" si="3"/>
        <v>0.0002937499999999998</v>
      </c>
      <c r="E23" s="11">
        <f t="shared" si="4"/>
        <v>1.2937500000000002</v>
      </c>
      <c r="F23" s="11">
        <f t="shared" si="5"/>
        <v>0.0012937500000000002</v>
      </c>
      <c r="G23" s="34">
        <f t="shared" si="6"/>
        <v>27.384729404148644</v>
      </c>
      <c r="H23" s="34">
        <f t="shared" si="7"/>
        <v>6.21778880190814</v>
      </c>
      <c r="I23" s="34">
        <f t="shared" si="8"/>
        <v>-21.16694060224051</v>
      </c>
      <c r="K23" s="25"/>
    </row>
    <row r="24" spans="1:11" ht="12.75">
      <c r="A24">
        <f t="shared" si="0"/>
        <v>-0.4500000000000002</v>
      </c>
      <c r="B24" s="27">
        <f t="shared" si="1"/>
        <v>-0.0004500000000000002</v>
      </c>
      <c r="C24" s="11">
        <f t="shared" si="2"/>
        <v>0.3437499999999998</v>
      </c>
      <c r="D24" s="11">
        <f t="shared" si="3"/>
        <v>0.00034374999999999976</v>
      </c>
      <c r="E24" s="11">
        <f t="shared" si="4"/>
        <v>1.2437500000000001</v>
      </c>
      <c r="F24" s="11">
        <f t="shared" si="5"/>
        <v>0.00124375</v>
      </c>
      <c r="G24" s="34">
        <f t="shared" si="6"/>
        <v>23.401496036272476</v>
      </c>
      <c r="H24" s="34">
        <f t="shared" si="7"/>
        <v>6.467750160778821</v>
      </c>
      <c r="I24" s="34">
        <f t="shared" si="8"/>
        <v>-16.933745875493656</v>
      </c>
      <c r="K24" s="33"/>
    </row>
    <row r="25" spans="1:11" ht="12.75">
      <c r="A25">
        <f t="shared" si="0"/>
        <v>-0.4000000000000002</v>
      </c>
      <c r="B25" s="27">
        <f t="shared" si="1"/>
        <v>-0.0004000000000000002</v>
      </c>
      <c r="C25" s="11">
        <f t="shared" si="2"/>
        <v>0.39374999999999977</v>
      </c>
      <c r="D25" s="11">
        <f t="shared" si="3"/>
        <v>0.0003937499999999998</v>
      </c>
      <c r="E25" s="11">
        <f t="shared" si="4"/>
        <v>1.19375</v>
      </c>
      <c r="F25" s="11">
        <f t="shared" si="5"/>
        <v>0.0011937500000000001</v>
      </c>
      <c r="G25" s="34">
        <f t="shared" si="6"/>
        <v>20.429877491983905</v>
      </c>
      <c r="H25" s="34">
        <f t="shared" si="7"/>
        <v>6.738650691073221</v>
      </c>
      <c r="I25" s="34">
        <f t="shared" si="8"/>
        <v>-13.691226800910684</v>
      </c>
      <c r="K25" s="33"/>
    </row>
    <row r="26" spans="1:11" ht="12.75">
      <c r="A26">
        <f t="shared" si="0"/>
        <v>-0.3500000000000002</v>
      </c>
      <c r="B26" s="27">
        <f t="shared" si="1"/>
        <v>-0.0003500000000000002</v>
      </c>
      <c r="C26" s="11">
        <f t="shared" si="2"/>
        <v>0.44374999999999976</v>
      </c>
      <c r="D26" s="11">
        <f t="shared" si="3"/>
        <v>0.00044374999999999975</v>
      </c>
      <c r="E26" s="11">
        <f t="shared" si="4"/>
        <v>1.1437500000000003</v>
      </c>
      <c r="F26" s="11">
        <f t="shared" si="5"/>
        <v>0.0011437500000000002</v>
      </c>
      <c r="G26" s="34">
        <f t="shared" si="6"/>
        <v>18.127919464718115</v>
      </c>
      <c r="H26" s="34">
        <f t="shared" si="7"/>
        <v>7.033236513633798</v>
      </c>
      <c r="I26" s="34">
        <f t="shared" si="8"/>
        <v>-11.094682951084316</v>
      </c>
      <c r="K26" s="33"/>
    </row>
    <row r="27" spans="1:11" ht="12.75">
      <c r="A27">
        <f t="shared" si="0"/>
        <v>-0.3000000000000002</v>
      </c>
      <c r="B27" s="27">
        <f t="shared" si="1"/>
        <v>-0.0003000000000000002</v>
      </c>
      <c r="C27" s="11">
        <f t="shared" si="2"/>
        <v>0.49374999999999974</v>
      </c>
      <c r="D27" s="11">
        <f t="shared" si="3"/>
        <v>0.0004937499999999997</v>
      </c>
      <c r="E27" s="11">
        <f t="shared" si="4"/>
        <v>1.0937500000000002</v>
      </c>
      <c r="F27" s="11">
        <f t="shared" si="5"/>
        <v>0.0010937500000000003</v>
      </c>
      <c r="G27" s="34">
        <f t="shared" si="6"/>
        <v>16.29218078474666</v>
      </c>
      <c r="H27" s="34">
        <f t="shared" si="7"/>
        <v>7.354755897114199</v>
      </c>
      <c r="I27" s="34">
        <f t="shared" si="8"/>
        <v>-8.937424887632456</v>
      </c>
      <c r="K27" s="33"/>
    </row>
    <row r="28" spans="1:11" ht="12.75">
      <c r="A28">
        <f t="shared" si="0"/>
        <v>-0.2500000000000002</v>
      </c>
      <c r="B28" s="27">
        <f t="shared" si="1"/>
        <v>-0.0002500000000000002</v>
      </c>
      <c r="C28" s="11">
        <f t="shared" si="2"/>
        <v>0.5437499999999997</v>
      </c>
      <c r="D28" s="11">
        <f t="shared" si="3"/>
        <v>0.0005437499999999997</v>
      </c>
      <c r="E28" s="11">
        <f t="shared" si="4"/>
        <v>1.0437500000000002</v>
      </c>
      <c r="F28" s="11">
        <f t="shared" si="5"/>
        <v>0.0010437500000000002</v>
      </c>
      <c r="G28" s="34">
        <f t="shared" si="6"/>
        <v>14.794049218333171</v>
      </c>
      <c r="H28" s="34">
        <f t="shared" si="7"/>
        <v>7.7070795329041015</v>
      </c>
      <c r="I28" s="34">
        <f t="shared" si="8"/>
        <v>-7.086969685429069</v>
      </c>
      <c r="K28" s="33"/>
    </row>
    <row r="29" spans="1:11" ht="12.75">
      <c r="A29">
        <f t="shared" si="0"/>
        <v>-0.20000000000000018</v>
      </c>
      <c r="B29" s="27">
        <f t="shared" si="1"/>
        <v>-0.00020000000000000017</v>
      </c>
      <c r="C29" s="11">
        <f t="shared" si="2"/>
        <v>0.5937499999999998</v>
      </c>
      <c r="D29" s="11">
        <f t="shared" si="3"/>
        <v>0.0005937499999999998</v>
      </c>
      <c r="E29" s="11">
        <f t="shared" si="4"/>
        <v>0.9937500000000001</v>
      </c>
      <c r="F29" s="11">
        <f t="shared" si="5"/>
        <v>0.00099375</v>
      </c>
      <c r="G29" s="34">
        <f t="shared" si="6"/>
        <v>13.54823454731564</v>
      </c>
      <c r="H29" s="34">
        <f t="shared" si="7"/>
        <v>8.094857119465317</v>
      </c>
      <c r="I29" s="34">
        <f t="shared" si="8"/>
        <v>-5.453377427850324</v>
      </c>
      <c r="K29" s="33"/>
    </row>
    <row r="30" spans="1:11" ht="12.75">
      <c r="A30">
        <f t="shared" si="0"/>
        <v>-0.15000000000000013</v>
      </c>
      <c r="B30" s="27">
        <f t="shared" si="1"/>
        <v>-0.00015000000000000012</v>
      </c>
      <c r="C30" s="11">
        <f t="shared" si="2"/>
        <v>0.6437499999999998</v>
      </c>
      <c r="D30" s="11">
        <f t="shared" si="3"/>
        <v>0.0006437499999999998</v>
      </c>
      <c r="E30" s="11">
        <f t="shared" si="4"/>
        <v>0.9437500000000001</v>
      </c>
      <c r="F30" s="11">
        <f t="shared" si="5"/>
        <v>0.00094375</v>
      </c>
      <c r="G30" s="34">
        <f t="shared" si="6"/>
        <v>12.495944485388211</v>
      </c>
      <c r="H30" s="34">
        <f t="shared" si="7"/>
        <v>8.523723721821096</v>
      </c>
      <c r="I30" s="34">
        <f t="shared" si="8"/>
        <v>-3.9722207635671163</v>
      </c>
      <c r="K30" s="33"/>
    </row>
    <row r="31" spans="1:11" ht="12.75">
      <c r="A31">
        <f t="shared" si="0"/>
        <v>-0.10000000000000009</v>
      </c>
      <c r="B31" s="27">
        <f t="shared" si="1"/>
        <v>-0.00010000000000000009</v>
      </c>
      <c r="C31" s="11">
        <f t="shared" si="2"/>
        <v>0.6937499999999999</v>
      </c>
      <c r="D31" s="11">
        <f t="shared" si="3"/>
        <v>0.0006937499999999998</v>
      </c>
      <c r="E31" s="11">
        <f t="shared" si="4"/>
        <v>0.89375</v>
      </c>
      <c r="F31" s="11">
        <f t="shared" si="5"/>
        <v>0.00089375</v>
      </c>
      <c r="G31" s="34">
        <f t="shared" si="6"/>
        <v>11.5953358738287</v>
      </c>
      <c r="H31" s="34">
        <f t="shared" si="7"/>
        <v>9.000575398566331</v>
      </c>
      <c r="I31" s="34">
        <f t="shared" si="8"/>
        <v>-2.594760475262368</v>
      </c>
      <c r="K31" s="33"/>
    </row>
    <row r="32" spans="1:11" ht="12.75">
      <c r="A32">
        <f t="shared" si="0"/>
        <v>-0.050000000000000044</v>
      </c>
      <c r="B32" s="27">
        <f t="shared" si="1"/>
        <v>-5.000000000000004E-05</v>
      </c>
      <c r="C32" s="11">
        <f t="shared" si="2"/>
        <v>0.7437499999999999</v>
      </c>
      <c r="D32" s="11">
        <f t="shared" si="3"/>
        <v>0.0007437499999999999</v>
      </c>
      <c r="E32" s="11">
        <f t="shared" si="4"/>
        <v>0.84375</v>
      </c>
      <c r="F32" s="11">
        <f t="shared" si="5"/>
        <v>0.00084375</v>
      </c>
      <c r="G32" s="34">
        <f t="shared" si="6"/>
        <v>10.81581749575618</v>
      </c>
      <c r="H32" s="34">
        <f t="shared" si="7"/>
        <v>9.533942829592485</v>
      </c>
      <c r="I32" s="34">
        <f t="shared" si="8"/>
        <v>-1.2818746661636966</v>
      </c>
      <c r="K32" s="33"/>
    </row>
    <row r="33" spans="1:12" ht="12.75">
      <c r="A33" s="9">
        <f t="shared" si="0"/>
        <v>0</v>
      </c>
      <c r="B33" s="23">
        <f t="shared" si="1"/>
        <v>0</v>
      </c>
      <c r="C33" s="9">
        <f>C1</f>
        <v>0.79375</v>
      </c>
      <c r="D33" s="9">
        <f t="shared" si="3"/>
        <v>0.00079375</v>
      </c>
      <c r="E33" s="9">
        <f t="shared" si="4"/>
        <v>0.79375</v>
      </c>
      <c r="F33" s="9">
        <f t="shared" si="5"/>
        <v>0.00079375</v>
      </c>
      <c r="G33" s="35">
        <f>$B$3*$C$4/$D$33*1000000000000</f>
        <v>10.13450615744083</v>
      </c>
      <c r="H33" s="35">
        <f t="shared" si="7"/>
        <v>10.13450615744083</v>
      </c>
      <c r="I33" s="35">
        <f t="shared" si="8"/>
        <v>0</v>
      </c>
      <c r="J33" s="33">
        <f>H33-H32</f>
        <v>0.6005633278483451</v>
      </c>
      <c r="K33" s="34"/>
      <c r="L33" s="11"/>
    </row>
    <row r="34" spans="1:13" ht="12.75">
      <c r="A34">
        <f t="shared" si="0"/>
        <v>0.050000000000000044</v>
      </c>
      <c r="B34" s="27">
        <f t="shared" si="1"/>
        <v>5.000000000000004E-05</v>
      </c>
      <c r="C34" s="11">
        <f aca="true" t="shared" si="9" ref="C34:C47">C33+0.05</f>
        <v>0.84375</v>
      </c>
      <c r="D34" s="11">
        <f t="shared" si="3"/>
        <v>0.00084375</v>
      </c>
      <c r="E34" s="11">
        <f t="shared" si="4"/>
        <v>0.7437499999999999</v>
      </c>
      <c r="F34" s="11">
        <f t="shared" si="5"/>
        <v>0.0007437499999999999</v>
      </c>
      <c r="G34" s="34">
        <f aca="true" t="shared" si="10" ref="G34:G47">$B$3*$C$4/D34*1000000000000</f>
        <v>9.533942829592485</v>
      </c>
      <c r="H34" s="34">
        <f t="shared" si="7"/>
        <v>10.81581749575618</v>
      </c>
      <c r="I34" s="34">
        <f t="shared" si="8"/>
        <v>1.2818746661636966</v>
      </c>
      <c r="K34" s="33"/>
      <c r="L34" s="24"/>
      <c r="M34" s="24"/>
    </row>
    <row r="35" spans="1:11" ht="12.75">
      <c r="A35">
        <f t="shared" si="0"/>
        <v>0.10000000000000009</v>
      </c>
      <c r="B35" s="27">
        <f t="shared" si="1"/>
        <v>0.00010000000000000009</v>
      </c>
      <c r="C35" s="11">
        <f t="shared" si="9"/>
        <v>0.89375</v>
      </c>
      <c r="D35" s="11">
        <f t="shared" si="3"/>
        <v>0.00089375</v>
      </c>
      <c r="E35" s="11">
        <f t="shared" si="4"/>
        <v>0.6937499999999999</v>
      </c>
      <c r="F35" s="11">
        <f t="shared" si="5"/>
        <v>0.0006937499999999998</v>
      </c>
      <c r="G35" s="34">
        <f t="shared" si="10"/>
        <v>9.000575398566331</v>
      </c>
      <c r="H35" s="34">
        <f t="shared" si="7"/>
        <v>11.5953358738287</v>
      </c>
      <c r="I35" s="34">
        <f t="shared" si="8"/>
        <v>2.594760475262368</v>
      </c>
      <c r="K35" s="33"/>
    </row>
    <row r="36" spans="1:11" ht="12.75">
      <c r="A36">
        <f t="shared" si="0"/>
        <v>0.15000000000000013</v>
      </c>
      <c r="B36" s="27">
        <f t="shared" si="1"/>
        <v>0.00015000000000000012</v>
      </c>
      <c r="C36" s="11">
        <f t="shared" si="9"/>
        <v>0.9437500000000001</v>
      </c>
      <c r="D36" s="11">
        <f t="shared" si="3"/>
        <v>0.00094375</v>
      </c>
      <c r="E36" s="11">
        <f t="shared" si="4"/>
        <v>0.6437499999999998</v>
      </c>
      <c r="F36" s="11">
        <f t="shared" si="5"/>
        <v>0.0006437499999999998</v>
      </c>
      <c r="G36" s="34">
        <f t="shared" si="10"/>
        <v>8.523723721821096</v>
      </c>
      <c r="H36" s="34">
        <f t="shared" si="7"/>
        <v>12.495944485388211</v>
      </c>
      <c r="I36" s="34">
        <f t="shared" si="8"/>
        <v>3.9722207635671163</v>
      </c>
      <c r="K36" s="33"/>
    </row>
    <row r="37" spans="1:11" ht="12.75">
      <c r="A37">
        <f t="shared" si="0"/>
        <v>0.20000000000000018</v>
      </c>
      <c r="B37" s="27">
        <f t="shared" si="1"/>
        <v>0.00020000000000000017</v>
      </c>
      <c r="C37" s="11">
        <f t="shared" si="9"/>
        <v>0.9937500000000001</v>
      </c>
      <c r="D37" s="11">
        <f t="shared" si="3"/>
        <v>0.00099375</v>
      </c>
      <c r="E37" s="11">
        <f t="shared" si="4"/>
        <v>0.5937499999999998</v>
      </c>
      <c r="F37" s="11">
        <f t="shared" si="5"/>
        <v>0.0005937499999999998</v>
      </c>
      <c r="G37" s="34">
        <f t="shared" si="10"/>
        <v>8.094857119465317</v>
      </c>
      <c r="H37" s="34">
        <f t="shared" si="7"/>
        <v>13.54823454731564</v>
      </c>
      <c r="I37" s="34">
        <f t="shared" si="8"/>
        <v>5.453377427850324</v>
      </c>
      <c r="K37" s="33"/>
    </row>
    <row r="38" spans="1:11" ht="12.75">
      <c r="A38">
        <f t="shared" si="0"/>
        <v>0.2500000000000002</v>
      </c>
      <c r="B38" s="27">
        <f t="shared" si="1"/>
        <v>0.0002500000000000002</v>
      </c>
      <c r="C38" s="11">
        <f t="shared" si="9"/>
        <v>1.0437500000000002</v>
      </c>
      <c r="D38" s="11">
        <f t="shared" si="3"/>
        <v>0.0010437500000000002</v>
      </c>
      <c r="E38" s="11">
        <f t="shared" si="4"/>
        <v>0.5437499999999997</v>
      </c>
      <c r="F38" s="11">
        <f t="shared" si="5"/>
        <v>0.0005437499999999997</v>
      </c>
      <c r="G38" s="34">
        <f t="shared" si="10"/>
        <v>7.7070795329041015</v>
      </c>
      <c r="H38" s="34">
        <f t="shared" si="7"/>
        <v>14.794049218333171</v>
      </c>
      <c r="I38" s="34">
        <f t="shared" si="8"/>
        <v>7.086969685429069</v>
      </c>
      <c r="K38" s="33"/>
    </row>
    <row r="39" spans="1:11" ht="12.75">
      <c r="A39">
        <f t="shared" si="0"/>
        <v>0.30000000000000027</v>
      </c>
      <c r="B39" s="27">
        <f t="shared" si="1"/>
        <v>0.00030000000000000024</v>
      </c>
      <c r="C39" s="11">
        <f t="shared" si="9"/>
        <v>1.0937500000000002</v>
      </c>
      <c r="D39" s="11">
        <f t="shared" si="3"/>
        <v>0.0010937500000000003</v>
      </c>
      <c r="E39" s="11">
        <f t="shared" si="4"/>
        <v>0.4937499999999997</v>
      </c>
      <c r="F39" s="11">
        <f t="shared" si="5"/>
        <v>0.0004937499999999997</v>
      </c>
      <c r="G39" s="34">
        <f t="shared" si="10"/>
        <v>7.354755897114199</v>
      </c>
      <c r="H39" s="34">
        <f t="shared" si="7"/>
        <v>16.29218078474666</v>
      </c>
      <c r="I39" s="34">
        <f t="shared" si="8"/>
        <v>8.937424887632458</v>
      </c>
      <c r="K39" s="33"/>
    </row>
    <row r="40" spans="1:11" ht="12.75">
      <c r="A40">
        <f t="shared" si="0"/>
        <v>0.3500000000000003</v>
      </c>
      <c r="B40" s="27">
        <f t="shared" si="1"/>
        <v>0.0003500000000000003</v>
      </c>
      <c r="C40" s="11">
        <f t="shared" si="9"/>
        <v>1.1437500000000003</v>
      </c>
      <c r="D40" s="11">
        <f t="shared" si="3"/>
        <v>0.0011437500000000002</v>
      </c>
      <c r="E40" s="11">
        <f t="shared" si="4"/>
        <v>0.44374999999999964</v>
      </c>
      <c r="F40" s="11">
        <f t="shared" si="5"/>
        <v>0.00044374999999999965</v>
      </c>
      <c r="G40" s="34">
        <f t="shared" si="10"/>
        <v>7.033236513633798</v>
      </c>
      <c r="H40" s="34">
        <f t="shared" si="7"/>
        <v>18.12791946471812</v>
      </c>
      <c r="I40" s="34">
        <f t="shared" si="8"/>
        <v>11.094682951084318</v>
      </c>
      <c r="K40" s="33"/>
    </row>
    <row r="41" spans="1:11" ht="12.75">
      <c r="A41">
        <f t="shared" si="0"/>
        <v>0.40000000000000036</v>
      </c>
      <c r="B41" s="27">
        <f t="shared" si="1"/>
        <v>0.00040000000000000034</v>
      </c>
      <c r="C41" s="11">
        <f t="shared" si="9"/>
        <v>1.1937500000000003</v>
      </c>
      <c r="D41" s="11">
        <f t="shared" si="3"/>
        <v>0.0011937500000000004</v>
      </c>
      <c r="E41" s="11">
        <f t="shared" si="4"/>
        <v>0.3937499999999996</v>
      </c>
      <c r="F41" s="11">
        <f t="shared" si="5"/>
        <v>0.0003937499999999996</v>
      </c>
      <c r="G41" s="34">
        <f t="shared" si="10"/>
        <v>6.73865069107322</v>
      </c>
      <c r="H41" s="34">
        <f t="shared" si="7"/>
        <v>20.429877491983913</v>
      </c>
      <c r="I41" s="34">
        <f t="shared" si="8"/>
        <v>13.691226800910695</v>
      </c>
      <c r="K41" s="33"/>
    </row>
    <row r="42" spans="1:11" ht="12.75">
      <c r="A42">
        <f t="shared" si="0"/>
        <v>0.4500000000000004</v>
      </c>
      <c r="B42" s="27">
        <f t="shared" si="1"/>
        <v>0.0004500000000000004</v>
      </c>
      <c r="C42" s="11">
        <f t="shared" si="9"/>
        <v>1.2437500000000004</v>
      </c>
      <c r="D42" s="11">
        <f t="shared" si="3"/>
        <v>0.0012437500000000003</v>
      </c>
      <c r="E42" s="11">
        <f t="shared" si="4"/>
        <v>0.34374999999999956</v>
      </c>
      <c r="F42" s="11">
        <f t="shared" si="5"/>
        <v>0.00034374999999999955</v>
      </c>
      <c r="G42" s="34">
        <f t="shared" si="10"/>
        <v>6.467750160778819</v>
      </c>
      <c r="H42" s="34">
        <f t="shared" si="7"/>
        <v>23.40149603627249</v>
      </c>
      <c r="I42" s="34">
        <f t="shared" si="8"/>
        <v>16.933745875493674</v>
      </c>
      <c r="K42" s="33"/>
    </row>
    <row r="43" spans="1:11" ht="12.75">
      <c r="A43">
        <f t="shared" si="0"/>
        <v>0.5000000000000004</v>
      </c>
      <c r="B43" s="27">
        <f t="shared" si="1"/>
        <v>0.0005000000000000004</v>
      </c>
      <c r="C43" s="11">
        <f t="shared" si="9"/>
        <v>1.2937500000000004</v>
      </c>
      <c r="D43" s="11">
        <f t="shared" si="3"/>
        <v>0.0012937500000000004</v>
      </c>
      <c r="E43" s="11">
        <f t="shared" si="4"/>
        <v>0.2937499999999995</v>
      </c>
      <c r="F43" s="11">
        <f t="shared" si="5"/>
        <v>0.0002937499999999995</v>
      </c>
      <c r="G43" s="34">
        <f t="shared" si="10"/>
        <v>6.2177888019081395</v>
      </c>
      <c r="H43" s="34">
        <f t="shared" si="7"/>
        <v>27.38472940414867</v>
      </c>
      <c r="I43" s="34">
        <f t="shared" si="8"/>
        <v>21.166940602240526</v>
      </c>
      <c r="K43" s="33"/>
    </row>
    <row r="44" spans="1:11" ht="12.75">
      <c r="A44">
        <f t="shared" si="0"/>
        <v>0.5500000000000005</v>
      </c>
      <c r="B44" s="27">
        <f t="shared" si="1"/>
        <v>0.0005500000000000005</v>
      </c>
      <c r="C44" s="11">
        <f t="shared" si="9"/>
        <v>1.3437500000000004</v>
      </c>
      <c r="D44" s="11">
        <f t="shared" si="3"/>
        <v>0.0013437500000000005</v>
      </c>
      <c r="E44" s="11">
        <f t="shared" si="4"/>
        <v>0.24374999999999947</v>
      </c>
      <c r="F44" s="11">
        <f t="shared" si="5"/>
        <v>0.00024374999999999947</v>
      </c>
      <c r="G44" s="34">
        <f t="shared" si="10"/>
        <v>5.986429218581325</v>
      </c>
      <c r="H44" s="34">
        <f t="shared" si="7"/>
        <v>33.00210979474328</v>
      </c>
      <c r="I44" s="34">
        <f t="shared" si="8"/>
        <v>27.015680576161955</v>
      </c>
      <c r="K44" s="33"/>
    </row>
    <row r="45" spans="1:11" ht="12.75">
      <c r="A45">
        <f t="shared" si="0"/>
        <v>0.6000000000000005</v>
      </c>
      <c r="B45" s="27">
        <f t="shared" si="1"/>
        <v>0.0006000000000000005</v>
      </c>
      <c r="C45" s="11">
        <f t="shared" si="9"/>
        <v>1.3937500000000005</v>
      </c>
      <c r="D45" s="11">
        <f t="shared" si="3"/>
        <v>0.0013937500000000005</v>
      </c>
      <c r="E45" s="11">
        <f t="shared" si="4"/>
        <v>0.19374999999999942</v>
      </c>
      <c r="F45" s="11">
        <f t="shared" si="5"/>
        <v>0.00019374999999999942</v>
      </c>
      <c r="G45" s="34">
        <f t="shared" si="10"/>
        <v>5.77166942598648</v>
      </c>
      <c r="H45" s="34">
        <f t="shared" si="7"/>
        <v>41.51878329016094</v>
      </c>
      <c r="I45" s="34">
        <f t="shared" si="8"/>
        <v>35.747113864174445</v>
      </c>
      <c r="K45" s="33"/>
    </row>
    <row r="46" spans="1:11" ht="12.75">
      <c r="A46">
        <f t="shared" si="0"/>
        <v>0.6500000000000006</v>
      </c>
      <c r="B46" s="27">
        <f t="shared" si="1"/>
        <v>0.0006500000000000006</v>
      </c>
      <c r="C46" s="11">
        <f t="shared" si="9"/>
        <v>1.4437500000000005</v>
      </c>
      <c r="D46" s="11">
        <f t="shared" si="3"/>
        <v>0.0014437500000000006</v>
      </c>
      <c r="E46" s="11">
        <f t="shared" si="4"/>
        <v>0.14374999999999938</v>
      </c>
      <c r="F46" s="11">
        <f t="shared" si="5"/>
        <v>0.00014374999999999937</v>
      </c>
      <c r="G46" s="34">
        <f t="shared" si="10"/>
        <v>5.5717847705410595</v>
      </c>
      <c r="H46" s="34">
        <f t="shared" si="7"/>
        <v>55.96009921717352</v>
      </c>
      <c r="I46" s="34">
        <f t="shared" si="8"/>
        <v>50.388314446632464</v>
      </c>
      <c r="K46" s="33"/>
    </row>
    <row r="47" spans="1:11" ht="12.75">
      <c r="A47">
        <f t="shared" si="0"/>
        <v>0.7000000000000006</v>
      </c>
      <c r="B47" s="27">
        <f t="shared" si="1"/>
        <v>0.0007000000000000006</v>
      </c>
      <c r="C47" s="11">
        <f t="shared" si="9"/>
        <v>1.4937500000000006</v>
      </c>
      <c r="D47" s="11">
        <f t="shared" si="3"/>
        <v>0.0014937500000000005</v>
      </c>
      <c r="E47" s="11">
        <f t="shared" si="4"/>
        <v>0.09374999999999933</v>
      </c>
      <c r="F47" s="11">
        <f t="shared" si="5"/>
        <v>9.374999999999934E-05</v>
      </c>
      <c r="G47" s="34">
        <f t="shared" si="10"/>
        <v>5.385281514623368</v>
      </c>
      <c r="H47" s="34">
        <f t="shared" si="7"/>
        <v>85.80548546633297</v>
      </c>
      <c r="I47" s="34">
        <f t="shared" si="8"/>
        <v>80.4202039517096</v>
      </c>
      <c r="K47" s="33"/>
    </row>
    <row r="48" spans="3:10" ht="12.75">
      <c r="C48" s="6"/>
      <c r="D48" s="6"/>
      <c r="H48" s="3"/>
      <c r="I48" s="3"/>
      <c r="J48" s="3"/>
    </row>
    <row r="49" spans="3:10" ht="12.75">
      <c r="C49" s="6"/>
      <c r="D49" s="6"/>
      <c r="H49" s="3"/>
      <c r="I49" s="3"/>
      <c r="J49" s="3"/>
    </row>
    <row r="50" spans="3:10" ht="12.75">
      <c r="C50" s="6"/>
      <c r="D50" s="6"/>
      <c r="H50" s="3"/>
      <c r="I50" s="3"/>
      <c r="J50" s="3"/>
    </row>
    <row r="51" spans="3:10" ht="12.75">
      <c r="C51" s="6"/>
      <c r="D51" s="6"/>
      <c r="H51" s="3"/>
      <c r="I51" s="3"/>
      <c r="J51" s="3"/>
    </row>
    <row r="52" spans="3:10" ht="12.75">
      <c r="C52" s="6"/>
      <c r="D52" s="6"/>
      <c r="H52" s="3"/>
      <c r="I52" s="3"/>
      <c r="J52" s="3"/>
    </row>
    <row r="53" spans="3:10" ht="12.75">
      <c r="C53" s="6"/>
      <c r="D53" s="6"/>
      <c r="H53" s="3"/>
      <c r="I53" s="3"/>
      <c r="J53" s="3"/>
    </row>
    <row r="56" spans="2:10" ht="12.75">
      <c r="B56" s="6"/>
      <c r="C56" s="6"/>
      <c r="D56" s="6"/>
      <c r="I56" s="6"/>
      <c r="J56" s="4"/>
    </row>
    <row r="57" spans="2:10" ht="12.75">
      <c r="B57" s="4"/>
      <c r="C57" s="4"/>
      <c r="D57" s="4"/>
      <c r="F57" s="3"/>
      <c r="I57" s="6"/>
      <c r="J57" s="4"/>
    </row>
    <row r="58" spans="1:9" ht="12.75">
      <c r="A58" s="4"/>
      <c r="F58" s="3"/>
      <c r="I58" s="6"/>
    </row>
    <row r="59" ht="12.75">
      <c r="F59" s="3"/>
    </row>
    <row r="60" ht="12.75">
      <c r="F60" s="3"/>
    </row>
    <row r="61" ht="12.75">
      <c r="F61" s="3"/>
    </row>
    <row r="65" spans="2:5" ht="12.75">
      <c r="B65" s="5"/>
      <c r="C65" s="5"/>
      <c r="D65" s="5"/>
      <c r="E65" s="5"/>
    </row>
    <row r="66" spans="2:5" ht="12.75">
      <c r="B66" s="7"/>
      <c r="C66" s="7"/>
      <c r="D66" s="7"/>
      <c r="E66" s="7"/>
    </row>
    <row r="67" spans="2:5" ht="12.75">
      <c r="B67" s="5"/>
      <c r="C67" s="5"/>
      <c r="D67" s="5"/>
      <c r="E67" s="5"/>
    </row>
    <row r="68" spans="2:5" ht="12.75">
      <c r="B68" s="7"/>
      <c r="C68" s="7"/>
      <c r="D68" s="7"/>
      <c r="E68" s="7"/>
    </row>
    <row r="69" spans="2:5" ht="12.75">
      <c r="B69" s="5"/>
      <c r="C69" s="5"/>
      <c r="D69" s="5"/>
      <c r="E69" s="5"/>
    </row>
    <row r="70" spans="2:5" ht="12.75">
      <c r="B70" s="3"/>
      <c r="C70" s="3"/>
      <c r="D70" s="3"/>
      <c r="E70" s="1"/>
    </row>
    <row r="71" spans="2:5" ht="12.75">
      <c r="B71" s="5"/>
      <c r="C71" s="5"/>
      <c r="D71" s="5"/>
      <c r="E71" s="5"/>
    </row>
    <row r="72" spans="2:5" ht="12.75">
      <c r="B72" s="3"/>
      <c r="C72" s="3"/>
      <c r="D72" s="3"/>
      <c r="E72" s="1"/>
    </row>
  </sheetData>
  <sheetProtection sheet="1" objects="1" scenarios="1"/>
  <mergeCells count="2">
    <mergeCell ref="G10:I10"/>
    <mergeCell ref="L17:M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Nordgren</dc:creator>
  <cp:keywords/>
  <dc:description/>
  <cp:lastModifiedBy>Brett</cp:lastModifiedBy>
  <dcterms:created xsi:type="dcterms:W3CDTF">2006-04-07T13:05:26Z</dcterms:created>
  <dcterms:modified xsi:type="dcterms:W3CDTF">2019-11-01T12:59:03Z</dcterms:modified>
  <cp:category/>
  <cp:version/>
  <cp:contentType/>
  <cp:contentStatus/>
</cp:coreProperties>
</file>