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5172" activeTab="0"/>
  </bookViews>
  <sheets>
    <sheet name="Sheet1" sheetId="1" r:id="rId1"/>
    <sheet name="Sheet1 (2)" sheetId="2" r:id="rId2"/>
  </sheets>
  <definedNames>
    <definedName name="_xlnm.Print_Area" localSheetId="0">'Sheet1'!$C$101:$I$140</definedName>
    <definedName name="_xlnm.Print_Area" localSheetId="1">'Sheet1 (2)'!$C$104:$I$143</definedName>
  </definedNames>
  <calcPr fullCalcOnLoad="1"/>
</workbook>
</file>

<file path=xl/sharedStrings.xml><?xml version="1.0" encoding="utf-8"?>
<sst xmlns="http://schemas.openxmlformats.org/spreadsheetml/2006/main" count="525" uniqueCount="171">
  <si>
    <t>Material</t>
  </si>
  <si>
    <t>6061 Al</t>
  </si>
  <si>
    <r>
      <t>lb/in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0"/>
      </rPr>
      <t xml:space="preserve"> </t>
    </r>
  </si>
  <si>
    <t>6063 Al</t>
  </si>
  <si>
    <t>Element</t>
  </si>
  <si>
    <t>x</t>
  </si>
  <si>
    <t>Depth-y</t>
  </si>
  <si>
    <t>Boom</t>
  </si>
  <si>
    <t>Hinge Flange</t>
  </si>
  <si>
    <t>Horiz plate</t>
  </si>
  <si>
    <t>Vertical plate</t>
  </si>
  <si>
    <r>
      <t>gm/in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0"/>
      </rPr>
      <t xml:space="preserve"> </t>
    </r>
  </si>
  <si>
    <t>---</t>
  </si>
  <si>
    <t>Angle Bkt.</t>
  </si>
  <si>
    <t>Vert side</t>
  </si>
  <si>
    <t>Horiz side</t>
  </si>
  <si>
    <t>Upper Plate</t>
  </si>
  <si>
    <t>Horiz area</t>
  </si>
  <si>
    <t>Flange 1</t>
  </si>
  <si>
    <t>Flange 2</t>
  </si>
  <si>
    <t>Spacer</t>
  </si>
  <si>
    <t>/</t>
  </si>
  <si>
    <t>ohms /</t>
  </si>
  <si>
    <t>#34 AWG</t>
  </si>
  <si>
    <t>=</t>
  </si>
  <si>
    <t>ohms</t>
  </si>
  <si>
    <t>lb</t>
  </si>
  <si>
    <t>gm</t>
  </si>
  <si>
    <t xml:space="preserve">ohms / kft </t>
  </si>
  <si>
    <t>lb / kft</t>
  </si>
  <si>
    <t>lb / ohm</t>
  </si>
  <si>
    <t>gm / lb</t>
  </si>
  <si>
    <r>
      <t>ohms/in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0"/>
      </rPr>
      <t xml:space="preserve"> </t>
    </r>
  </si>
  <si>
    <r>
      <t>in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0"/>
      </rPr>
      <t xml:space="preserve">  </t>
    </r>
  </si>
  <si>
    <t>vs</t>
  </si>
  <si>
    <t>340-409 in table</t>
  </si>
  <si>
    <t>Coil</t>
  </si>
  <si>
    <t>-</t>
  </si>
  <si>
    <t>gm total coil</t>
  </si>
  <si>
    <t>gm - bobbin</t>
  </si>
  <si>
    <t>PVC</t>
  </si>
  <si>
    <r>
      <t>kg/m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0"/>
      </rPr>
      <t xml:space="preserve"> </t>
    </r>
  </si>
  <si>
    <r>
      <t>gm/m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0"/>
      </rPr>
      <t xml:space="preserve"> </t>
    </r>
  </si>
  <si>
    <r>
      <t>gm/cm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0"/>
      </rPr>
      <t xml:space="preserve"> </t>
    </r>
  </si>
  <si>
    <r>
      <t>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0"/>
      </rPr>
      <t>/in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0"/>
      </rPr>
      <t xml:space="preserve"> </t>
    </r>
  </si>
  <si>
    <r>
      <t>gm</t>
    </r>
    <r>
      <rPr>
        <sz val="12"/>
        <rFont val="Arial"/>
        <family val="0"/>
      </rPr>
      <t>/in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0"/>
      </rPr>
      <t xml:space="preserve"> </t>
    </r>
  </si>
  <si>
    <t>wire vol</t>
  </si>
  <si>
    <t>Hollow vol</t>
  </si>
  <si>
    <t>Cyl vol</t>
  </si>
  <si>
    <t>PVC vol</t>
  </si>
  <si>
    <t>disk1</t>
  </si>
  <si>
    <r>
      <t>in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0"/>
      </rPr>
      <t xml:space="preserve">   </t>
    </r>
  </si>
  <si>
    <t>ring1</t>
  </si>
  <si>
    <t>ring2</t>
  </si>
  <si>
    <t>ring3</t>
  </si>
  <si>
    <t>total</t>
  </si>
  <si>
    <t>cpvc wt</t>
  </si>
  <si>
    <r>
      <t>in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0"/>
      </rPr>
      <t>/100ft</t>
    </r>
  </si>
  <si>
    <t>lb/100ft</t>
  </si>
  <si>
    <t>cpvc vol  /</t>
  </si>
  <si>
    <t>gm/lb</t>
  </si>
  <si>
    <t>Cpvc density calc.</t>
  </si>
  <si>
    <t>gm - wire</t>
  </si>
  <si>
    <t>gm - cpvc</t>
  </si>
  <si>
    <t>??</t>
  </si>
  <si>
    <t>CPVC</t>
  </si>
  <si>
    <t>PVC disk</t>
  </si>
  <si>
    <t>PVC ring 1</t>
  </si>
  <si>
    <t>PVC ring 2</t>
  </si>
  <si>
    <t>PVC ring 3</t>
  </si>
  <si>
    <t>Lower Plate</t>
  </si>
  <si>
    <t>5'</t>
  </si>
  <si>
    <t>Pivot</t>
  </si>
  <si>
    <t>M'</t>
  </si>
  <si>
    <t>Xcp</t>
  </si>
  <si>
    <t>Zcp</t>
  </si>
  <si>
    <t>in</t>
  </si>
  <si>
    <t>Rad. Inert.</t>
  </si>
  <si>
    <t>Rcp</t>
  </si>
  <si>
    <t>gm-in</t>
  </si>
  <si>
    <r>
      <t>Xc</t>
    </r>
    <r>
      <rPr>
        <vertAlign val="subscript"/>
        <sz val="12"/>
        <rFont val="Arial"/>
        <family val="2"/>
      </rPr>
      <t>0</t>
    </r>
    <r>
      <rPr>
        <sz val="12"/>
        <rFont val="Arial"/>
        <family val="0"/>
      </rPr>
      <t xml:space="preserve"> </t>
    </r>
  </si>
  <si>
    <r>
      <t>Zc</t>
    </r>
    <r>
      <rPr>
        <vertAlign val="subscript"/>
        <sz val="12"/>
        <rFont val="Arial"/>
        <family val="2"/>
      </rPr>
      <t>0</t>
    </r>
    <r>
      <rPr>
        <sz val="12"/>
        <rFont val="Arial"/>
        <family val="0"/>
      </rPr>
      <t xml:space="preserve"> </t>
    </r>
  </si>
  <si>
    <t>O.D</t>
  </si>
  <si>
    <t>I.D</t>
  </si>
  <si>
    <t>Fillet-square</t>
  </si>
  <si>
    <t>-Fillet-qtr.rnd.</t>
  </si>
  <si>
    <t>-Square hole</t>
  </si>
  <si>
    <t>Wire ring</t>
  </si>
  <si>
    <t>Results</t>
  </si>
  <si>
    <t>Width-x</t>
  </si>
  <si>
    <t>Height-z</t>
  </si>
  <si>
    <t>Part #</t>
  </si>
  <si>
    <t>Element Weight-gm</t>
  </si>
  <si>
    <t>M.O.I about centroid gm.-in.</t>
  </si>
  <si>
    <t>M.O.I about pivot     gm.-in.</t>
  </si>
  <si>
    <r>
      <t>Elememt Volume in.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</t>
    </r>
  </si>
  <si>
    <t>Element centroid-x in.</t>
  </si>
  <si>
    <t>Element centroid-z in.</t>
  </si>
  <si>
    <t xml:space="preserve"> x-Moment about pivot   gm.-in.</t>
  </si>
  <si>
    <t xml:space="preserve"> z-Moment about pivot   gm.-in.</t>
  </si>
  <si>
    <t>Spring Clamp</t>
  </si>
  <si>
    <t>360 Brass</t>
  </si>
  <si>
    <t>Trim Mass</t>
  </si>
  <si>
    <t>Old coil</t>
  </si>
  <si>
    <t>Centroid-x to Pivot   in.</t>
  </si>
  <si>
    <t>Centroid-z to Pivot   in.</t>
  </si>
  <si>
    <t>Centroid-R to Pivot   in.</t>
  </si>
  <si>
    <t>Total</t>
  </si>
  <si>
    <t>Pivot Clamps</t>
  </si>
  <si>
    <t>Mass</t>
  </si>
  <si>
    <t>Screw &amp; Nut</t>
  </si>
  <si>
    <t>total PVC</t>
  </si>
  <si>
    <t>Total coil assy</t>
  </si>
  <si>
    <t xml:space="preserve">New coil </t>
  </si>
  <si>
    <t>Screw           +</t>
  </si>
  <si>
    <t>Wire coil       +</t>
  </si>
  <si>
    <t>Screws</t>
  </si>
  <si>
    <t>Screws (3)</t>
  </si>
  <si>
    <t>Dave</t>
  </si>
  <si>
    <t>Coil + screw</t>
  </si>
  <si>
    <t>Socket Hd. Screws</t>
  </si>
  <si>
    <t>4-40</t>
  </si>
  <si>
    <t>6-32</t>
  </si>
  <si>
    <t>1/4-20</t>
  </si>
  <si>
    <t>Length</t>
  </si>
  <si>
    <t>316 Stainless</t>
  </si>
  <si>
    <t>Head Ht. - In.</t>
  </si>
  <si>
    <t>Head Dia. - In.</t>
  </si>
  <si>
    <t>Hex size - In.</t>
  </si>
  <si>
    <t>Hex depth - In.</t>
  </si>
  <si>
    <t>Thd wt - gm</t>
  </si>
  <si>
    <t>Head wt - gm</t>
  </si>
  <si>
    <r>
      <t>Thd vol. - In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0"/>
      </rPr>
      <t xml:space="preserve"> </t>
    </r>
  </si>
  <si>
    <r>
      <t>Head vol - In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0"/>
      </rPr>
      <t xml:space="preserve"> </t>
    </r>
  </si>
  <si>
    <t>Hex wt - gm</t>
  </si>
  <si>
    <r>
      <t>Hex vol - In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0"/>
      </rPr>
      <t xml:space="preserve"> </t>
    </r>
  </si>
  <si>
    <t>Thd COM - x</t>
  </si>
  <si>
    <t>Head COM - x</t>
  </si>
  <si>
    <t>Hex COM - x</t>
  </si>
  <si>
    <t>Screw Wt. - gm</t>
  </si>
  <si>
    <t>Screw COM - in</t>
  </si>
  <si>
    <t>Clearance - in</t>
  </si>
  <si>
    <t>Clear Rad. - in</t>
  </si>
  <si>
    <t>Head Rad - In.</t>
  </si>
  <si>
    <t>Hex rad. - In.</t>
  </si>
  <si>
    <t>Pitch Dia - In.</t>
  </si>
  <si>
    <t>Pitch Rad - In.</t>
  </si>
  <si>
    <t>8-32</t>
  </si>
  <si>
    <t>10-24</t>
  </si>
  <si>
    <t>10-32</t>
  </si>
  <si>
    <t>Outer Radius</t>
  </si>
  <si>
    <t>#4</t>
  </si>
  <si>
    <t>#6</t>
  </si>
  <si>
    <t>#10</t>
  </si>
  <si>
    <t>#4L</t>
  </si>
  <si>
    <t>#6L</t>
  </si>
  <si>
    <t>#10L</t>
  </si>
  <si>
    <t>Flat Washers - Light</t>
  </si>
  <si>
    <t>Split Lock Washers</t>
  </si>
  <si>
    <t>Thickness</t>
  </si>
  <si>
    <t>Hole ID</t>
  </si>
  <si>
    <t>Hole Radius</t>
  </si>
  <si>
    <t>Outer Diameter</t>
  </si>
  <si>
    <t>Boom 1</t>
  </si>
  <si>
    <t>Boom 2</t>
  </si>
  <si>
    <t>Pivot Clamp</t>
  </si>
  <si>
    <r>
      <t>M</t>
    </r>
    <r>
      <rPr>
        <vertAlign val="subscript"/>
        <sz val="12"/>
        <rFont val="Arial"/>
        <family val="2"/>
      </rPr>
      <t>0</t>
    </r>
    <r>
      <rPr>
        <sz val="12"/>
        <rFont val="Arial"/>
        <family val="0"/>
      </rPr>
      <t xml:space="preserve"> </t>
    </r>
  </si>
  <si>
    <r>
      <t>M</t>
    </r>
    <r>
      <rPr>
        <vertAlign val="subscript"/>
        <sz val="12"/>
        <rFont val="Arial"/>
        <family val="2"/>
      </rPr>
      <t>1</t>
    </r>
    <r>
      <rPr>
        <sz val="12"/>
        <rFont val="Arial"/>
        <family val="0"/>
      </rPr>
      <t xml:space="preserve"> </t>
    </r>
  </si>
  <si>
    <r>
      <t>Mass M</t>
    </r>
  </si>
  <si>
    <r>
      <t>gm-in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 xml:space="preserve"> </t>
    </r>
  </si>
  <si>
    <r>
      <t>kp-cm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</si>
</sst>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</numFmts>
  <fonts count="7">
    <font>
      <sz val="12"/>
      <name val="Arial"/>
      <family val="0"/>
    </font>
    <font>
      <vertAlign val="superscript"/>
      <sz val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sz val="12"/>
      <color indexed="5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 quotePrefix="1">
      <alignment horizontal="center"/>
    </xf>
    <xf numFmtId="0" fontId="0" fillId="0" borderId="2" xfId="0" applyNumberFormat="1" applyBorder="1" applyAlignment="1">
      <alignment/>
    </xf>
    <xf numFmtId="165" fontId="0" fillId="2" borderId="0" xfId="0" applyNumberFormat="1" applyFill="1" applyAlignment="1">
      <alignment/>
    </xf>
    <xf numFmtId="164" fontId="0" fillId="0" borderId="2" xfId="0" applyNumberFormat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166" fontId="0" fillId="0" borderId="0" xfId="0" applyNumberFormat="1" applyAlignment="1">
      <alignment/>
    </xf>
    <xf numFmtId="166" fontId="0" fillId="2" borderId="0" xfId="0" applyNumberFormat="1" applyFill="1" applyAlignment="1">
      <alignment/>
    </xf>
    <xf numFmtId="165" fontId="0" fillId="0" borderId="0" xfId="0" applyNumberFormat="1" applyFill="1" applyBorder="1" applyAlignment="1">
      <alignment/>
    </xf>
    <xf numFmtId="166" fontId="0" fillId="0" borderId="1" xfId="0" applyNumberFormat="1" applyBorder="1" applyAlignment="1">
      <alignment/>
    </xf>
    <xf numFmtId="0" fontId="0" fillId="0" borderId="0" xfId="0" applyAlignment="1">
      <alignment/>
    </xf>
    <xf numFmtId="165" fontId="0" fillId="2" borderId="0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0" fontId="3" fillId="0" borderId="0" xfId="0" applyFont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6" fontId="0" fillId="0" borderId="6" xfId="0" applyNumberFormat="1" applyBorder="1" applyAlignment="1">
      <alignment/>
    </xf>
    <xf numFmtId="166" fontId="0" fillId="0" borderId="7" xfId="0" applyNumberFormat="1" applyFill="1" applyBorder="1" applyAlignment="1">
      <alignment/>
    </xf>
    <xf numFmtId="166" fontId="0" fillId="0" borderId="7" xfId="0" applyNumberFormat="1" applyBorder="1" applyAlignment="1">
      <alignment/>
    </xf>
    <xf numFmtId="166" fontId="0" fillId="0" borderId="8" xfId="0" applyNumberFormat="1" applyBorder="1" applyAlignment="1">
      <alignment/>
    </xf>
    <xf numFmtId="166" fontId="0" fillId="2" borderId="9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0" xfId="0" applyAlignment="1" quotePrefix="1">
      <alignment/>
    </xf>
    <xf numFmtId="164" fontId="0" fillId="3" borderId="1" xfId="0" applyNumberFormat="1" applyFill="1" applyBorder="1" applyAlignment="1" applyProtection="1">
      <alignment/>
      <protection locked="0"/>
    </xf>
    <xf numFmtId="164" fontId="0" fillId="3" borderId="0" xfId="0" applyNumberFormat="1" applyFill="1" applyAlignment="1" applyProtection="1">
      <alignment/>
      <protection locked="0"/>
    </xf>
    <xf numFmtId="0" fontId="0" fillId="3" borderId="0" xfId="0" applyFill="1" applyBorder="1" applyAlignment="1" applyProtection="1" quotePrefix="1">
      <alignment horizontal="right"/>
      <protection locked="0"/>
    </xf>
    <xf numFmtId="0" fontId="0" fillId="3" borderId="0" xfId="0" applyFill="1" applyAlignment="1" applyProtection="1">
      <alignment/>
      <protection locked="0"/>
    </xf>
    <xf numFmtId="2" fontId="0" fillId="3" borderId="0" xfId="0" applyNumberFormat="1" applyFill="1" applyAlignment="1" applyProtection="1">
      <alignment/>
      <protection locked="0"/>
    </xf>
    <xf numFmtId="164" fontId="0" fillId="3" borderId="2" xfId="0" applyNumberFormat="1" applyFill="1" applyBorder="1" applyAlignment="1" applyProtection="1">
      <alignment/>
      <protection locked="0"/>
    </xf>
    <xf numFmtId="166" fontId="0" fillId="3" borderId="1" xfId="0" applyNumberFormat="1" applyFill="1" applyBorder="1" applyAlignment="1" applyProtection="1">
      <alignment/>
      <protection locked="0"/>
    </xf>
    <xf numFmtId="166" fontId="0" fillId="3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2" xfId="0" applyFont="1" applyBorder="1" applyAlignment="1">
      <alignment horizontal="center" vertical="center" wrapText="1"/>
    </xf>
    <xf numFmtId="0" fontId="0" fillId="3" borderId="2" xfId="0" applyFill="1" applyBorder="1" applyAlignment="1" applyProtection="1">
      <alignment/>
      <protection locked="0"/>
    </xf>
    <xf numFmtId="166" fontId="0" fillId="2" borderId="2" xfId="0" applyNumberForma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7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165" fontId="0" fillId="2" borderId="10" xfId="0" applyNumberFormat="1" applyFill="1" applyBorder="1" applyAlignment="1">
      <alignment/>
    </xf>
    <xf numFmtId="2" fontId="0" fillId="3" borderId="0" xfId="0" applyNumberFormat="1" applyFill="1" applyAlignment="1">
      <alignment/>
    </xf>
    <xf numFmtId="0" fontId="3" fillId="0" borderId="0" xfId="0" applyFont="1" applyFill="1" applyAlignment="1" applyProtection="1">
      <alignment/>
      <protection/>
    </xf>
    <xf numFmtId="165" fontId="0" fillId="2" borderId="11" xfId="0" applyNumberFormat="1" applyFill="1" applyBorder="1" applyAlignment="1">
      <alignment/>
    </xf>
    <xf numFmtId="164" fontId="0" fillId="3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Fill="1" applyAlignment="1" applyProtection="1">
      <alignment horizontal="center"/>
      <protection/>
    </xf>
    <xf numFmtId="0" fontId="0" fillId="4" borderId="0" xfId="0" applyFill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6" fontId="0" fillId="2" borderId="0" xfId="0" applyNumberForma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 horizontal="right"/>
    </xf>
    <xf numFmtId="166" fontId="0" fillId="0" borderId="11" xfId="0" applyNumberFormat="1" applyBorder="1" applyAlignment="1">
      <alignment/>
    </xf>
    <xf numFmtId="0" fontId="0" fillId="0" borderId="7" xfId="0" applyBorder="1" applyAlignment="1">
      <alignment/>
    </xf>
    <xf numFmtId="164" fontId="0" fillId="0" borderId="0" xfId="0" applyNumberFormat="1" applyFill="1" applyAlignment="1" applyProtection="1">
      <alignment/>
      <protection locked="0"/>
    </xf>
    <xf numFmtId="164" fontId="0" fillId="5" borderId="12" xfId="0" applyNumberFormat="1" applyFill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1" xfId="0" applyNumberFormat="1" applyBorder="1" applyAlignment="1">
      <alignment/>
    </xf>
    <xf numFmtId="2" fontId="0" fillId="0" borderId="0" xfId="0" applyNumberFormat="1" applyFill="1" applyAlignment="1">
      <alignment/>
    </xf>
    <xf numFmtId="0" fontId="0" fillId="0" borderId="4" xfId="0" applyBorder="1" applyAlignment="1">
      <alignment horizontal="right"/>
    </xf>
    <xf numFmtId="0" fontId="0" fillId="0" borderId="4" xfId="0" applyBorder="1" applyAlignment="1" quotePrefix="1">
      <alignment horizontal="righ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2" borderId="11" xfId="0" applyFill="1" applyBorder="1" applyAlignment="1">
      <alignment/>
    </xf>
    <xf numFmtId="2" fontId="0" fillId="0" borderId="0" xfId="0" applyNumberFormat="1" applyBorder="1" applyAlignment="1">
      <alignment/>
    </xf>
    <xf numFmtId="166" fontId="0" fillId="3" borderId="0" xfId="0" applyNumberFormat="1" applyFill="1" applyBorder="1" applyAlignment="1" applyProtection="1">
      <alignment/>
      <protection locked="0"/>
    </xf>
    <xf numFmtId="164" fontId="0" fillId="3" borderId="0" xfId="0" applyNumberFormat="1" applyFill="1" applyAlignment="1" applyProtection="1">
      <alignment/>
      <protection/>
    </xf>
    <xf numFmtId="165" fontId="0" fillId="3" borderId="0" xfId="0" applyNumberFormat="1" applyFill="1" applyAlignment="1" applyProtection="1">
      <alignment/>
      <protection/>
    </xf>
    <xf numFmtId="0" fontId="0" fillId="0" borderId="2" xfId="0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/>
      <protection/>
    </xf>
    <xf numFmtId="166" fontId="0" fillId="2" borderId="1" xfId="0" applyNumberFormat="1" applyFill="1" applyBorder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64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/>
      <protection locked="0"/>
    </xf>
    <xf numFmtId="166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Fill="1" applyBorder="1" applyAlignment="1" applyProtection="1">
      <alignment/>
      <protection locked="0"/>
    </xf>
    <xf numFmtId="17" fontId="0" fillId="0" borderId="0" xfId="0" applyNumberFormat="1" applyAlignment="1" quotePrefix="1">
      <alignment horizontal="center"/>
    </xf>
    <xf numFmtId="166" fontId="0" fillId="0" borderId="14" xfId="0" applyNumberFormat="1" applyFill="1" applyBorder="1" applyAlignment="1">
      <alignment/>
    </xf>
    <xf numFmtId="166" fontId="0" fillId="0" borderId="15" xfId="0" applyNumberFormat="1" applyFill="1" applyBorder="1" applyAlignment="1">
      <alignment/>
    </xf>
    <xf numFmtId="166" fontId="0" fillId="3" borderId="0" xfId="0" applyNumberFormat="1" applyFill="1" applyAlignment="1">
      <alignment/>
    </xf>
    <xf numFmtId="165" fontId="0" fillId="0" borderId="0" xfId="0" applyNumberFormat="1" applyBorder="1" applyAlignment="1">
      <alignment/>
    </xf>
    <xf numFmtId="164" fontId="3" fillId="3" borderId="2" xfId="0" applyNumberFormat="1" applyFont="1" applyFill="1" applyBorder="1" applyAlignment="1" applyProtection="1">
      <alignment/>
      <protection locked="0"/>
    </xf>
    <xf numFmtId="164" fontId="3" fillId="3" borderId="1" xfId="0" applyNumberFormat="1" applyFont="1" applyFill="1" applyBorder="1" applyAlignment="1" applyProtection="1">
      <alignment/>
      <protection locked="0"/>
    </xf>
    <xf numFmtId="164" fontId="3" fillId="3" borderId="0" xfId="0" applyNumberFormat="1" applyFont="1" applyFill="1" applyAlignment="1" applyProtection="1">
      <alignment/>
      <protection locked="0"/>
    </xf>
    <xf numFmtId="0" fontId="3" fillId="3" borderId="0" xfId="0" applyFont="1" applyFill="1" applyBorder="1" applyAlignment="1" applyProtection="1" quotePrefix="1">
      <alignment horizontal="right"/>
      <protection locked="0"/>
    </xf>
    <xf numFmtId="164" fontId="3" fillId="3" borderId="0" xfId="0" applyNumberFormat="1" applyFont="1" applyFill="1" applyBorder="1" applyAlignment="1" applyProtection="1">
      <alignment/>
      <protection locked="0"/>
    </xf>
    <xf numFmtId="166" fontId="3" fillId="3" borderId="1" xfId="0" applyNumberFormat="1" applyFont="1" applyFill="1" applyBorder="1" applyAlignment="1" applyProtection="1">
      <alignment/>
      <protection locked="0"/>
    </xf>
    <xf numFmtId="164" fontId="3" fillId="0" borderId="0" xfId="0" applyNumberFormat="1" applyFont="1" applyAlignment="1">
      <alignment/>
    </xf>
    <xf numFmtId="166" fontId="3" fillId="3" borderId="0" xfId="0" applyNumberFormat="1" applyFont="1" applyFill="1" applyBorder="1" applyAlignment="1" applyProtection="1">
      <alignment/>
      <protection locked="0"/>
    </xf>
    <xf numFmtId="0" fontId="0" fillId="0" borderId="2" xfId="0" applyFont="1" applyBorder="1" applyAlignment="1">
      <alignment/>
    </xf>
    <xf numFmtId="164" fontId="0" fillId="0" borderId="2" xfId="0" applyNumberFormat="1" applyFont="1" applyBorder="1" applyAlignment="1">
      <alignment/>
    </xf>
    <xf numFmtId="166" fontId="0" fillId="6" borderId="0" xfId="0" applyNumberFormat="1" applyFill="1" applyBorder="1" applyAlignment="1">
      <alignment/>
    </xf>
    <xf numFmtId="0" fontId="0" fillId="6" borderId="0" xfId="0" applyFill="1" applyBorder="1" applyAlignment="1">
      <alignment/>
    </xf>
    <xf numFmtId="2" fontId="0" fillId="0" borderId="11" xfId="0" applyNumberFormat="1" applyBorder="1" applyAlignment="1">
      <alignment/>
    </xf>
    <xf numFmtId="166" fontId="0" fillId="0" borderId="2" xfId="0" applyNumberFormat="1" applyBorder="1" applyAlignment="1">
      <alignment/>
    </xf>
    <xf numFmtId="0" fontId="0" fillId="4" borderId="2" xfId="0" applyFill="1" applyBorder="1" applyAlignment="1">
      <alignment/>
    </xf>
    <xf numFmtId="166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4" borderId="0" xfId="0" applyFill="1" applyBorder="1" applyAlignment="1">
      <alignment/>
    </xf>
    <xf numFmtId="164" fontId="6" fillId="3" borderId="2" xfId="0" applyNumberFormat="1" applyFont="1" applyFill="1" applyBorder="1" applyAlignment="1" applyProtection="1">
      <alignment/>
      <protection locked="0"/>
    </xf>
    <xf numFmtId="0" fontId="6" fillId="0" borderId="2" xfId="0" applyFont="1" applyBorder="1" applyAlignment="1">
      <alignment/>
    </xf>
    <xf numFmtId="0" fontId="3" fillId="2" borderId="2" xfId="0" applyFont="1" applyFill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0" fillId="2" borderId="2" xfId="0" applyNumberFormat="1" applyFill="1" applyBorder="1" applyAlignment="1">
      <alignment/>
    </xf>
    <xf numFmtId="164" fontId="3" fillId="2" borderId="2" xfId="0" applyNumberFormat="1" applyFont="1" applyFill="1" applyBorder="1" applyAlignment="1">
      <alignment/>
    </xf>
    <xf numFmtId="166" fontId="0" fillId="6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166" fontId="3" fillId="0" borderId="16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41"/>
  <sheetViews>
    <sheetView tabSelected="1" zoomScale="85" zoomScaleNormal="85" workbookViewId="0" topLeftCell="A10">
      <pane xSplit="3" ySplit="1" topLeftCell="D11" activePane="bottomRight" state="frozen"/>
      <selection pane="topLeft" activeCell="A10" sqref="A10"/>
      <selection pane="topRight" activeCell="D10" sqref="D10"/>
      <selection pane="bottomLeft" activeCell="A11" sqref="A11"/>
      <selection pane="bottomRight" activeCell="G25" sqref="D25:G25"/>
    </sheetView>
  </sheetViews>
  <sheetFormatPr defaultColWidth="8.88671875" defaultRowHeight="15"/>
  <cols>
    <col min="1" max="1" width="8.99609375" style="0" customWidth="1"/>
    <col min="2" max="2" width="4.99609375" style="0" customWidth="1"/>
    <col min="3" max="3" width="13.77734375" style="0" customWidth="1"/>
    <col min="7" max="7" width="10.88671875" style="0" customWidth="1"/>
    <col min="8" max="8" width="12.10546875" style="0" customWidth="1"/>
    <col min="9" max="9" width="13.21484375" style="0" customWidth="1"/>
    <col min="10" max="10" width="14.10546875" style="0" customWidth="1"/>
    <col min="11" max="11" width="12.21484375" style="0" customWidth="1"/>
    <col min="12" max="14" width="12.5546875" style="0" customWidth="1"/>
    <col min="15" max="15" width="9.21484375" style="0" customWidth="1"/>
    <col min="16" max="16" width="11.21484375" style="0" customWidth="1"/>
    <col min="17" max="17" width="11.10546875" style="0" customWidth="1"/>
  </cols>
  <sheetData>
    <row r="2" ht="15">
      <c r="A2" s="28" t="s">
        <v>0</v>
      </c>
    </row>
    <row r="3" spans="1:6" ht="17.25">
      <c r="A3" t="s">
        <v>1</v>
      </c>
      <c r="C3" s="47">
        <v>0.0975</v>
      </c>
      <c r="D3" t="s">
        <v>2</v>
      </c>
      <c r="E3" s="20">
        <f>C3*453.59237</f>
        <v>44.225256075000004</v>
      </c>
      <c r="F3" t="s">
        <v>11</v>
      </c>
    </row>
    <row r="4" spans="1:6" ht="17.25">
      <c r="A4" t="s">
        <v>3</v>
      </c>
      <c r="C4" s="47">
        <v>0.097</v>
      </c>
      <c r="D4" t="s">
        <v>2</v>
      </c>
      <c r="E4" s="20">
        <f>C4*453.59237</f>
        <v>43.99845989</v>
      </c>
      <c r="F4" t="s">
        <v>11</v>
      </c>
    </row>
    <row r="5" spans="1:7" ht="17.25">
      <c r="A5" t="s">
        <v>40</v>
      </c>
      <c r="C5" s="48">
        <f>1.4*2.54*2.54*2.54</f>
        <v>22.9418896</v>
      </c>
      <c r="D5" t="s">
        <v>11</v>
      </c>
      <c r="F5" t="s">
        <v>11</v>
      </c>
      <c r="G5" t="s">
        <v>64</v>
      </c>
    </row>
    <row r="6" spans="1:6" ht="17.25">
      <c r="A6" t="s">
        <v>65</v>
      </c>
      <c r="C6" s="48">
        <f>1.54*2.54*2.54*2.54</f>
        <v>25.23607856</v>
      </c>
      <c r="D6" t="s">
        <v>11</v>
      </c>
      <c r="E6" s="22">
        <v>21.693088949639836</v>
      </c>
      <c r="F6" t="s">
        <v>11</v>
      </c>
    </row>
    <row r="7" spans="1:6" ht="17.25">
      <c r="A7" t="s">
        <v>125</v>
      </c>
      <c r="C7" s="48">
        <v>8000</v>
      </c>
      <c r="D7" t="s">
        <v>41</v>
      </c>
      <c r="E7" s="20">
        <v>131.0965</v>
      </c>
      <c r="F7" t="s">
        <v>11</v>
      </c>
    </row>
    <row r="8" spans="1:6" ht="17.25">
      <c r="A8" t="s">
        <v>101</v>
      </c>
      <c r="C8" s="69">
        <v>0.307</v>
      </c>
      <c r="D8" t="s">
        <v>2</v>
      </c>
      <c r="E8" s="20">
        <f>C8*453.59237</f>
        <v>139.25285759</v>
      </c>
      <c r="F8" t="s">
        <v>11</v>
      </c>
    </row>
    <row r="9" ht="15">
      <c r="E9" s="22">
        <v>139.12617336000002</v>
      </c>
    </row>
    <row r="10" spans="1:21" ht="48.75" customHeight="1">
      <c r="A10" s="1" t="s">
        <v>91</v>
      </c>
      <c r="B10" s="158" t="s">
        <v>4</v>
      </c>
      <c r="C10" s="159"/>
      <c r="D10" s="1" t="s">
        <v>90</v>
      </c>
      <c r="E10" s="1" t="s">
        <v>89</v>
      </c>
      <c r="F10" s="1" t="s">
        <v>6</v>
      </c>
      <c r="G10" s="1" t="s">
        <v>95</v>
      </c>
      <c r="H10" s="1" t="s">
        <v>92</v>
      </c>
      <c r="I10" s="1" t="s">
        <v>96</v>
      </c>
      <c r="J10" s="1" t="s">
        <v>97</v>
      </c>
      <c r="K10" s="1" t="s">
        <v>98</v>
      </c>
      <c r="L10" s="1" t="s">
        <v>99</v>
      </c>
      <c r="M10" s="1" t="s">
        <v>104</v>
      </c>
      <c r="N10" s="1" t="s">
        <v>105</v>
      </c>
      <c r="O10" s="1" t="s">
        <v>106</v>
      </c>
      <c r="P10" s="1" t="s">
        <v>93</v>
      </c>
      <c r="Q10" s="1" t="s">
        <v>94</v>
      </c>
      <c r="R10" s="1"/>
      <c r="S10" s="1" t="s">
        <v>5</v>
      </c>
      <c r="T10" s="1" t="s">
        <v>5</v>
      </c>
      <c r="U10" s="1" t="s">
        <v>5</v>
      </c>
    </row>
    <row r="11" spans="1:21" ht="15">
      <c r="A11" s="64">
        <v>0</v>
      </c>
      <c r="B11" s="65">
        <v>0</v>
      </c>
      <c r="C11" s="63" t="s">
        <v>72</v>
      </c>
      <c r="D11" s="11"/>
      <c r="E11" s="11"/>
      <c r="F11" s="11"/>
      <c r="G11" s="11"/>
      <c r="H11" s="11"/>
      <c r="I11" s="59">
        <v>2.005</v>
      </c>
      <c r="J11" s="49">
        <v>1.25</v>
      </c>
      <c r="K11" s="11"/>
      <c r="L11" s="11"/>
      <c r="M11" s="11"/>
      <c r="N11" s="11"/>
      <c r="O11" s="15">
        <v>0</v>
      </c>
      <c r="P11" s="58"/>
      <c r="Q11" s="58"/>
      <c r="R11" s="1"/>
      <c r="S11" s="1"/>
      <c r="T11" s="1"/>
      <c r="U11" s="1"/>
    </row>
    <row r="12" spans="1:21" ht="15">
      <c r="A12" s="61"/>
      <c r="B12" s="1"/>
      <c r="C12" s="2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17" ht="15">
      <c r="A13" s="6">
        <v>1</v>
      </c>
      <c r="B13" s="6">
        <v>0</v>
      </c>
      <c r="C13" s="62" t="s">
        <v>163</v>
      </c>
      <c r="D13" s="4" t="s">
        <v>12</v>
      </c>
      <c r="E13" s="4" t="s">
        <v>12</v>
      </c>
      <c r="F13" s="4" t="s">
        <v>12</v>
      </c>
      <c r="G13" s="116">
        <f>SUM(G14:G19)</f>
        <v>2.2791</v>
      </c>
      <c r="H13" s="14">
        <f>SUM(H14:H19)</f>
        <v>100.7937811205325</v>
      </c>
      <c r="I13" s="117">
        <f>K13/H13+$I$11</f>
        <v>2.7825916348558644</v>
      </c>
      <c r="J13" s="117">
        <f>L13/H13+$J$11</f>
        <v>1.2323525053749287</v>
      </c>
      <c r="K13" s="22">
        <f>SUM(K14:K19)</f>
        <v>78.37640104481902</v>
      </c>
      <c r="L13" s="22">
        <f>SUM(L14:L19)</f>
        <v>-1.7787577105652117</v>
      </c>
      <c r="M13" s="22">
        <f>I13-$I$11</f>
        <v>0.7775916348558645</v>
      </c>
      <c r="N13" s="22">
        <f>J13-$J$11</f>
        <v>-0.017647494625071314</v>
      </c>
      <c r="O13" s="22">
        <f aca="true" t="shared" si="0" ref="O13:O19">SQRT(M13*M13+N13*N13)</f>
        <v>0.7777918646169796</v>
      </c>
      <c r="P13" s="16">
        <f>SUM(P14:P19)</f>
        <v>24.270828031244893</v>
      </c>
      <c r="Q13" s="60">
        <f>SUM(Q14:Q19)</f>
        <v>187.11076043402414</v>
      </c>
    </row>
    <row r="14" spans="1:17" ht="15">
      <c r="A14" s="7">
        <v>1</v>
      </c>
      <c r="B14" s="7">
        <v>1</v>
      </c>
      <c r="C14" s="5" t="s">
        <v>8</v>
      </c>
      <c r="D14" s="44">
        <v>0.25</v>
      </c>
      <c r="E14" s="44">
        <v>0.75</v>
      </c>
      <c r="F14" s="44">
        <v>4.5</v>
      </c>
      <c r="G14" s="5">
        <f>D14*E14*F14</f>
        <v>0.84375</v>
      </c>
      <c r="H14" s="5">
        <f aca="true" t="shared" si="1" ref="H14:H19">G14*$E$3</f>
        <v>37.31505981328125</v>
      </c>
      <c r="I14" s="44">
        <v>1.625</v>
      </c>
      <c r="J14" s="44">
        <v>1.375</v>
      </c>
      <c r="K14" s="24">
        <f aca="true" t="shared" si="2" ref="K14:K19">(I14-$I$11)*H14</f>
        <v>-14.179722729046873</v>
      </c>
      <c r="L14" s="24">
        <f aca="true" t="shared" si="3" ref="L14:L19">(J14-$J$11)*H14</f>
        <v>4.6643824766601565</v>
      </c>
      <c r="M14" s="24">
        <f aca="true" t="shared" si="4" ref="M14:M19">I14-$I$11</f>
        <v>-0.3799999999999999</v>
      </c>
      <c r="N14" s="24">
        <f aca="true" t="shared" si="5" ref="N14:N19">J14-$J$11</f>
        <v>0.125</v>
      </c>
      <c r="O14" s="24">
        <f t="shared" si="0"/>
        <v>0.4000312487793921</v>
      </c>
      <c r="P14">
        <f>H14*(D14*D14+E14*E14)/12</f>
        <v>1.9434926986083987</v>
      </c>
      <c r="Q14" s="21">
        <f aca="true" t="shared" si="6" ref="Q14:Q19">P14+H14*O14*O14</f>
        <v>7.914835145228727</v>
      </c>
    </row>
    <row r="15" spans="1:17" ht="15">
      <c r="A15" s="6">
        <v>1</v>
      </c>
      <c r="B15" s="6">
        <v>2</v>
      </c>
      <c r="C15" t="s">
        <v>9</v>
      </c>
      <c r="D15" s="45">
        <v>0.25</v>
      </c>
      <c r="E15" s="45">
        <v>2.25</v>
      </c>
      <c r="F15" s="45">
        <v>2</v>
      </c>
      <c r="G15">
        <f>D15*E15*F15</f>
        <v>1.125</v>
      </c>
      <c r="H15">
        <f t="shared" si="1"/>
        <v>49.753413084375005</v>
      </c>
      <c r="I15" s="45">
        <v>3.125</v>
      </c>
      <c r="J15" s="45">
        <v>1.375</v>
      </c>
      <c r="K15" s="31">
        <f t="shared" si="2"/>
        <v>55.72382265450001</v>
      </c>
      <c r="L15" s="31">
        <f t="shared" si="3"/>
        <v>6.219176635546876</v>
      </c>
      <c r="M15" s="31">
        <f t="shared" si="4"/>
        <v>1.12</v>
      </c>
      <c r="N15" s="31">
        <f t="shared" si="5"/>
        <v>0.125</v>
      </c>
      <c r="O15" s="31">
        <f t="shared" si="0"/>
        <v>1.1269538588602463</v>
      </c>
      <c r="P15">
        <f>H15*(D15*D15+E15*E15)/12</f>
        <v>21.248853504785156</v>
      </c>
      <c r="Q15" s="21">
        <f t="shared" si="6"/>
        <v>84.43693195726853</v>
      </c>
    </row>
    <row r="16" spans="1:17" ht="15">
      <c r="A16" s="6">
        <v>1</v>
      </c>
      <c r="B16" s="6">
        <v>3</v>
      </c>
      <c r="C16" s="43" t="s">
        <v>86</v>
      </c>
      <c r="D16" s="45">
        <v>-0.25</v>
      </c>
      <c r="E16" s="45">
        <v>1</v>
      </c>
      <c r="F16" s="45">
        <v>1</v>
      </c>
      <c r="G16">
        <f>D16*E16*F16</f>
        <v>-0.25</v>
      </c>
      <c r="H16">
        <f t="shared" si="1"/>
        <v>-11.056314018750001</v>
      </c>
      <c r="I16" s="45">
        <v>3.375</v>
      </c>
      <c r="J16" s="45">
        <v>1.375</v>
      </c>
      <c r="K16" s="31">
        <f t="shared" si="2"/>
        <v>-15.147150205687502</v>
      </c>
      <c r="L16" s="31">
        <f t="shared" si="3"/>
        <v>-1.3820392523437501</v>
      </c>
      <c r="M16" s="31">
        <f t="shared" si="4"/>
        <v>1.37</v>
      </c>
      <c r="N16" s="31">
        <f t="shared" si="5"/>
        <v>0.125</v>
      </c>
      <c r="O16" s="31">
        <f t="shared" si="0"/>
        <v>1.375690735594305</v>
      </c>
      <c r="P16">
        <f>H16*(D16*D16+E16*E16)/12</f>
        <v>-0.9789444704101564</v>
      </c>
      <c r="Q16" s="21">
        <f t="shared" si="6"/>
        <v>-21.903295158745003</v>
      </c>
    </row>
    <row r="17" spans="1:17" ht="15">
      <c r="A17" s="6">
        <v>1</v>
      </c>
      <c r="B17" s="6">
        <v>4</v>
      </c>
      <c r="C17" t="s">
        <v>10</v>
      </c>
      <c r="D17" s="45">
        <v>1</v>
      </c>
      <c r="E17" s="45">
        <v>0.25</v>
      </c>
      <c r="F17" s="45">
        <v>2</v>
      </c>
      <c r="G17">
        <f>D17*E17*F17</f>
        <v>0.5</v>
      </c>
      <c r="H17">
        <f t="shared" si="1"/>
        <v>22.112628037500002</v>
      </c>
      <c r="I17" s="45">
        <v>4.125</v>
      </c>
      <c r="J17" s="45">
        <v>0.75</v>
      </c>
      <c r="K17" s="31">
        <f t="shared" si="2"/>
        <v>46.87877143950001</v>
      </c>
      <c r="L17" s="31">
        <f t="shared" si="3"/>
        <v>-11.056314018750001</v>
      </c>
      <c r="M17" s="31">
        <f t="shared" si="4"/>
        <v>2.12</v>
      </c>
      <c r="N17" s="31">
        <f t="shared" si="5"/>
        <v>-0.5</v>
      </c>
      <c r="O17" s="31">
        <f t="shared" si="0"/>
        <v>2.178164364780583</v>
      </c>
      <c r="P17">
        <f>H17*(D17*D17+E17*E17)/12</f>
        <v>1.9578889408203128</v>
      </c>
      <c r="Q17" s="21">
        <f t="shared" si="6"/>
        <v>106.86904140193532</v>
      </c>
    </row>
    <row r="18" spans="1:17" ht="15">
      <c r="A18" s="6">
        <v>1</v>
      </c>
      <c r="B18" s="6">
        <v>5</v>
      </c>
      <c r="C18" t="s">
        <v>84</v>
      </c>
      <c r="D18" s="45">
        <v>0.375</v>
      </c>
      <c r="E18" s="45">
        <v>0.375</v>
      </c>
      <c r="F18" s="45">
        <v>2</v>
      </c>
      <c r="G18">
        <f>D18*E18*F18</f>
        <v>0.28125</v>
      </c>
      <c r="H18">
        <f t="shared" si="1"/>
        <v>12.438353271093751</v>
      </c>
      <c r="I18" s="45">
        <v>3.8125</v>
      </c>
      <c r="J18" s="45">
        <v>1.0625</v>
      </c>
      <c r="K18" s="31">
        <f t="shared" si="2"/>
        <v>22.482323537501955</v>
      </c>
      <c r="L18" s="31">
        <f t="shared" si="3"/>
        <v>-2.3321912383300782</v>
      </c>
      <c r="M18" s="31">
        <f t="shared" si="4"/>
        <v>1.8075</v>
      </c>
      <c r="N18" s="31">
        <f t="shared" si="5"/>
        <v>-0.1875</v>
      </c>
      <c r="O18" s="31">
        <f t="shared" si="0"/>
        <v>1.8171990810035097</v>
      </c>
      <c r="P18">
        <f>H18*(D18*D18+E18*E18)/12</f>
        <v>0.2915239047912598</v>
      </c>
      <c r="Q18" s="21">
        <f t="shared" si="6"/>
        <v>41.36560955601294</v>
      </c>
    </row>
    <row r="19" spans="1:17" ht="15">
      <c r="A19" s="6">
        <v>1</v>
      </c>
      <c r="B19" s="6" t="s">
        <v>71</v>
      </c>
      <c r="C19" s="43" t="s">
        <v>85</v>
      </c>
      <c r="D19" s="46">
        <v>0.375</v>
      </c>
      <c r="E19" s="46">
        <v>0.375</v>
      </c>
      <c r="F19" s="45">
        <v>2</v>
      </c>
      <c r="G19">
        <f>-F19*0.11045</f>
        <v>-0.2209</v>
      </c>
      <c r="H19">
        <f t="shared" si="1"/>
        <v>-9.769359066967501</v>
      </c>
      <c r="I19" s="46">
        <v>3.7842</v>
      </c>
      <c r="J19" s="46">
        <v>1.0342</v>
      </c>
      <c r="K19" s="31">
        <f t="shared" si="2"/>
        <v>-17.38164365194858</v>
      </c>
      <c r="L19" s="31">
        <f t="shared" si="3"/>
        <v>2.1082276866515866</v>
      </c>
      <c r="M19" s="31">
        <f t="shared" si="4"/>
        <v>1.7792</v>
      </c>
      <c r="N19" s="31">
        <f t="shared" si="5"/>
        <v>-0.2158</v>
      </c>
      <c r="O19" s="31">
        <f t="shared" si="0"/>
        <v>1.7922394594473139</v>
      </c>
      <c r="P19">
        <f>H19*(0.5-32/(9*PI()*PI()))*D19*E19</f>
        <v>-0.19198654735007656</v>
      </c>
      <c r="Q19" s="21">
        <f t="shared" si="6"/>
        <v>-31.5723624676764</v>
      </c>
    </row>
    <row r="20" spans="1:15" ht="15">
      <c r="A20" s="6"/>
      <c r="B20" s="6"/>
      <c r="D20" s="42"/>
      <c r="E20" s="42"/>
      <c r="F20" s="42"/>
      <c r="I20" s="42"/>
      <c r="J20" s="42"/>
      <c r="K20" s="21"/>
      <c r="L20" s="21"/>
      <c r="M20" s="21"/>
      <c r="N20" s="21"/>
      <c r="O20" s="21"/>
    </row>
    <row r="21" spans="1:17" ht="15">
      <c r="A21" s="10">
        <v>2</v>
      </c>
      <c r="B21" s="10">
        <v>0</v>
      </c>
      <c r="C21" s="63" t="s">
        <v>164</v>
      </c>
      <c r="D21" s="12" t="s">
        <v>12</v>
      </c>
      <c r="E21" s="12" t="s">
        <v>12</v>
      </c>
      <c r="F21" s="12" t="s">
        <v>12</v>
      </c>
      <c r="G21" s="116">
        <f>SUM(G22:G23)</f>
        <v>0.515625</v>
      </c>
      <c r="H21" s="14">
        <f>SUM(H22:H23)</f>
        <v>22.686705880781247</v>
      </c>
      <c r="I21" s="117">
        <f>K21/H21+$I$11</f>
        <v>4.482954545454546</v>
      </c>
      <c r="J21" s="117">
        <f>L21/H21+$J$11</f>
        <v>1.3920454545454546</v>
      </c>
      <c r="K21" s="22">
        <f>SUM(K22:K24)</f>
        <v>56.21662595867227</v>
      </c>
      <c r="L21" s="22">
        <f>SUM(L22:L23)</f>
        <v>3.222543448974609</v>
      </c>
      <c r="M21" s="22">
        <f>I21-$I$11</f>
        <v>2.477954545454546</v>
      </c>
      <c r="N21" s="22">
        <f>J21-$J$11</f>
        <v>0.14204545454545459</v>
      </c>
      <c r="O21" s="22">
        <f>SQRT(M21*M21+N21*N21)</f>
        <v>2.482022489925478</v>
      </c>
      <c r="P21" s="16">
        <f>SUM(P22:P23)</f>
        <v>0.9452794116992187</v>
      </c>
      <c r="Q21" s="60">
        <f>SUM(Q22:Q23)</f>
        <v>142.04555600138931</v>
      </c>
    </row>
    <row r="22" spans="1:17" ht="15">
      <c r="A22" s="6">
        <v>2</v>
      </c>
      <c r="B22" s="6">
        <v>1</v>
      </c>
      <c r="C22" t="s">
        <v>14</v>
      </c>
      <c r="D22" s="45">
        <v>0.75</v>
      </c>
      <c r="E22" s="45">
        <v>0.125</v>
      </c>
      <c r="F22" s="45">
        <v>3</v>
      </c>
      <c r="G22">
        <f>D22*E22*F22</f>
        <v>0.28125</v>
      </c>
      <c r="H22">
        <f>G22*$E$4</f>
        <v>12.3745668440625</v>
      </c>
      <c r="I22" s="45">
        <v>4.3125</v>
      </c>
      <c r="J22" s="45">
        <v>1.25</v>
      </c>
      <c r="K22" s="24">
        <f>(I22-$I$11)*H22</f>
        <v>28.55431299267422</v>
      </c>
      <c r="L22" s="24">
        <f>(J22-$J$11)*H22</f>
        <v>0</v>
      </c>
      <c r="M22" s="24">
        <f>I22-$I$11</f>
        <v>2.3075</v>
      </c>
      <c r="N22" s="24">
        <f>J22-$J$11</f>
        <v>0</v>
      </c>
      <c r="O22" s="24">
        <f>SQRT(M22*M22+N22*N22)</f>
        <v>2.3075</v>
      </c>
      <c r="P22">
        <f>H22*(D22*D22+E22*E22)/12</f>
        <v>0.5961705380603027</v>
      </c>
      <c r="Q22" s="21">
        <f>P22+H22*O22*O22</f>
        <v>66.48524776865607</v>
      </c>
    </row>
    <row r="23" spans="1:17" ht="15">
      <c r="A23" s="6">
        <v>2</v>
      </c>
      <c r="B23" s="6">
        <v>2</v>
      </c>
      <c r="C23" t="s">
        <v>15</v>
      </c>
      <c r="D23" s="45">
        <v>0.125</v>
      </c>
      <c r="E23" s="45">
        <v>0.625</v>
      </c>
      <c r="F23" s="45">
        <v>3</v>
      </c>
      <c r="G23">
        <f>D23*E23*F23</f>
        <v>0.234375</v>
      </c>
      <c r="H23">
        <f>G23*$E$4</f>
        <v>10.312139036718749</v>
      </c>
      <c r="I23" s="45">
        <v>4.6875</v>
      </c>
      <c r="J23" s="45">
        <v>1.5625</v>
      </c>
      <c r="K23" s="31">
        <f>(I23-$I$11)*H23</f>
        <v>27.662312965998044</v>
      </c>
      <c r="L23" s="31">
        <f>(J23-$J$11)*H23</f>
        <v>3.222543448974609</v>
      </c>
      <c r="M23" s="31">
        <f>I23-$I$11</f>
        <v>2.6825</v>
      </c>
      <c r="N23" s="31">
        <f>J23-$J$11</f>
        <v>0.3125</v>
      </c>
      <c r="O23" s="31">
        <f>SQRT(($I23-$I$11)*($I23-$I$11)+($J23-$J$11)*($J23-$J$11))</f>
        <v>2.7006411275843374</v>
      </c>
      <c r="P23">
        <f>H23*(D23*D23+E23*E23)/12</f>
        <v>0.349108873638916</v>
      </c>
      <c r="Q23" s="21">
        <f>P23+H23*O23*O23</f>
        <v>75.56030823273325</v>
      </c>
    </row>
    <row r="24" spans="1:17" ht="15">
      <c r="A24" s="52"/>
      <c r="B24" s="52"/>
      <c r="C24" s="53"/>
      <c r="D24" s="54"/>
      <c r="E24" s="54"/>
      <c r="F24" s="54"/>
      <c r="G24" s="53"/>
      <c r="H24" s="55"/>
      <c r="I24" s="54"/>
      <c r="J24" s="54"/>
      <c r="K24" s="56"/>
      <c r="L24" s="56"/>
      <c r="M24" s="56"/>
      <c r="N24" s="56"/>
      <c r="O24" s="56"/>
      <c r="P24" s="57"/>
      <c r="Q24" s="57"/>
    </row>
    <row r="25" spans="1:17" ht="15">
      <c r="A25" s="52">
        <v>3</v>
      </c>
      <c r="B25" s="52">
        <v>0</v>
      </c>
      <c r="C25" s="77" t="s">
        <v>116</v>
      </c>
      <c r="D25" s="118"/>
      <c r="E25" s="118"/>
      <c r="F25" s="118"/>
      <c r="G25" s="52"/>
      <c r="H25" s="108">
        <v>3.7</v>
      </c>
      <c r="I25" s="107">
        <v>4.36</v>
      </c>
      <c r="J25" s="107">
        <v>1.1875</v>
      </c>
      <c r="K25" s="31">
        <f>(I25-$I$11)*H25</f>
        <v>8.713500000000002</v>
      </c>
      <c r="L25" s="31">
        <f>(J25-$J$11)*H25</f>
        <v>-0.23125</v>
      </c>
      <c r="M25" s="31">
        <f>I25-$I$11</f>
        <v>2.3550000000000004</v>
      </c>
      <c r="N25" s="31">
        <f>J25-$J$11</f>
        <v>-0.0625</v>
      </c>
      <c r="O25" s="31">
        <f>SQRT(($I25-$I$11)*($I25-$I$11)+($J25-$J$11)*($J25-$J$11))</f>
        <v>2.355829206457888</v>
      </c>
      <c r="P25" s="78">
        <f>H25*(D25*D25+E25*E25)/12</f>
        <v>0</v>
      </c>
      <c r="Q25" s="22">
        <f>P25+H25*O25*O25</f>
        <v>20.53474562500001</v>
      </c>
    </row>
    <row r="26" spans="1:17" ht="15">
      <c r="A26" s="52"/>
      <c r="B26" s="52"/>
      <c r="C26" s="53"/>
      <c r="D26" s="54"/>
      <c r="E26" s="54"/>
      <c r="F26" s="54"/>
      <c r="G26" s="53"/>
      <c r="H26" s="55"/>
      <c r="I26" s="54"/>
      <c r="J26" s="54"/>
      <c r="K26" s="56"/>
      <c r="L26" s="56"/>
      <c r="M26" s="56"/>
      <c r="N26" s="56"/>
      <c r="O26" s="56"/>
      <c r="P26" s="57"/>
      <c r="Q26" s="57"/>
    </row>
    <row r="27" spans="1:17" ht="15">
      <c r="A27" s="52">
        <v>4</v>
      </c>
      <c r="B27" s="52">
        <v>0</v>
      </c>
      <c r="C27" s="77" t="s">
        <v>100</v>
      </c>
      <c r="D27" s="72">
        <v>0.25</v>
      </c>
      <c r="E27" s="72">
        <v>0.25</v>
      </c>
      <c r="F27" s="72">
        <v>2</v>
      </c>
      <c r="G27">
        <f>D27*E27*F27</f>
        <v>0.125</v>
      </c>
      <c r="H27" s="67">
        <f>G27*$E$9</f>
        <v>17.390771670000003</v>
      </c>
      <c r="I27" s="72">
        <v>3.875</v>
      </c>
      <c r="J27" s="72">
        <v>0.375</v>
      </c>
      <c r="K27" s="31">
        <f>(I27-$I$11)*H27</f>
        <v>32.52074302290001</v>
      </c>
      <c r="L27" s="31">
        <f>(J27-$J$11)*H27</f>
        <v>-15.216925211250002</v>
      </c>
      <c r="M27" s="31">
        <f>I27-$I$11</f>
        <v>1.87</v>
      </c>
      <c r="N27" s="31">
        <f>J27-$J$11</f>
        <v>-0.875</v>
      </c>
      <c r="O27" s="31">
        <f>SQRT(($I27-$I$11)*($I27-$I$11)+($J27-$J$11)*($J27-$J$11))</f>
        <v>2.0645883366908766</v>
      </c>
      <c r="P27">
        <f>H27*(D27*D27+E27*E27)/12</f>
        <v>0.18115387156250004</v>
      </c>
      <c r="Q27" s="82">
        <f>P27+H27*O27*O27</f>
        <v>74.30975288422927</v>
      </c>
    </row>
    <row r="28" spans="1:17" ht="15">
      <c r="A28" s="52"/>
      <c r="B28" s="52"/>
      <c r="G28" s="30"/>
      <c r="H28" s="74"/>
      <c r="I28" s="73"/>
      <c r="J28" s="73"/>
      <c r="K28" s="75"/>
      <c r="L28" s="31"/>
      <c r="M28" s="31"/>
      <c r="N28" s="31"/>
      <c r="O28" s="31"/>
      <c r="Q28" s="75"/>
    </row>
    <row r="29" spans="1:17" ht="15">
      <c r="A29" s="109">
        <v>5</v>
      </c>
      <c r="B29" s="109">
        <v>0</v>
      </c>
      <c r="C29" s="110" t="s">
        <v>108</v>
      </c>
      <c r="D29" s="49"/>
      <c r="E29" s="49"/>
      <c r="F29" s="49"/>
      <c r="G29" s="11">
        <f>SUM(G30:G31)</f>
        <v>0.125</v>
      </c>
      <c r="H29" s="16">
        <f>SUM(H30:H31)</f>
        <v>17.390771670000003</v>
      </c>
      <c r="I29" s="117">
        <f>K29/H29+$I$11</f>
        <v>1.875</v>
      </c>
      <c r="J29" s="117">
        <f>L29/H29+$J$11</f>
        <v>1.125</v>
      </c>
      <c r="K29" s="22">
        <f>SUM(K30:K31)</f>
        <v>-2.2608003170999984</v>
      </c>
      <c r="L29" s="22">
        <f>SUM(L30:L31)</f>
        <v>-2.1738464587500004</v>
      </c>
      <c r="M29" s="22">
        <f>I29-$I$11</f>
        <v>-0.1299999999999999</v>
      </c>
      <c r="N29" s="22">
        <f>J29-$J$11</f>
        <v>-0.125</v>
      </c>
      <c r="O29" s="22">
        <f>SQRT(M29*M29+N29*N29)</f>
        <v>0.18034688796871426</v>
      </c>
      <c r="P29" s="16">
        <f>SUM(P30:P31)</f>
        <v>0.18115387156250004</v>
      </c>
      <c r="Q29" s="60">
        <f>SUM(Q30:Q31)</f>
        <v>0.7467887201292497</v>
      </c>
    </row>
    <row r="30" spans="1:17" ht="15">
      <c r="A30" s="111">
        <v>5</v>
      </c>
      <c r="B30" s="111">
        <v>1</v>
      </c>
      <c r="C30" s="112"/>
      <c r="D30" s="44">
        <v>0.25</v>
      </c>
      <c r="E30" s="44">
        <v>0.25</v>
      </c>
      <c r="F30" s="44">
        <v>1</v>
      </c>
      <c r="G30" s="5">
        <f>D30*E30*F30</f>
        <v>0.0625</v>
      </c>
      <c r="H30" s="122">
        <f>G30*$E$9</f>
        <v>8.695385835000002</v>
      </c>
      <c r="I30" s="44">
        <v>1.875</v>
      </c>
      <c r="J30" s="44">
        <v>1.125</v>
      </c>
      <c r="K30" s="24">
        <f>(I30-$I$11)*H30</f>
        <v>-1.1304001585499992</v>
      </c>
      <c r="L30" s="24">
        <f>(J30-$J$11)*H30</f>
        <v>-1.0869232293750002</v>
      </c>
      <c r="M30" s="24">
        <f>I30-$I$11</f>
        <v>-0.1299999999999999</v>
      </c>
      <c r="N30" s="24">
        <f>J30-$J$11</f>
        <v>-0.125</v>
      </c>
      <c r="O30" s="24">
        <f>SQRT(($I30-$I$11)*($I30-$I$11)+($J30-$J$11)*($J30-$J$11))</f>
        <v>0.18034688796871426</v>
      </c>
      <c r="P30" s="5">
        <f>H30*(D30*D30+E30*E30)/12</f>
        <v>0.09057693578125002</v>
      </c>
      <c r="Q30" s="113">
        <f>P30+H30*O30*O30</f>
        <v>0.37339436006462484</v>
      </c>
    </row>
    <row r="31" spans="1:17" ht="15">
      <c r="A31" s="114">
        <v>5</v>
      </c>
      <c r="B31" s="114">
        <v>2</v>
      </c>
      <c r="C31" s="115"/>
      <c r="D31" s="72">
        <v>0.25</v>
      </c>
      <c r="E31" s="72">
        <v>0.25</v>
      </c>
      <c r="F31" s="72">
        <v>1</v>
      </c>
      <c r="G31" s="81">
        <f>D31*E31*F31</f>
        <v>0.0625</v>
      </c>
      <c r="H31" s="74">
        <f>G31*$E$9</f>
        <v>8.695385835000002</v>
      </c>
      <c r="I31" s="72">
        <v>1.875</v>
      </c>
      <c r="J31" s="72">
        <v>1.125</v>
      </c>
      <c r="K31" s="31">
        <f>(I31-$I$11)*H31</f>
        <v>-1.1304001585499992</v>
      </c>
      <c r="L31" s="31">
        <f>(J31-$J$11)*H31</f>
        <v>-1.0869232293750002</v>
      </c>
      <c r="M31" s="31">
        <f>I31-$I$11</f>
        <v>-0.1299999999999999</v>
      </c>
      <c r="N31" s="31">
        <f>J31-$J$11</f>
        <v>-0.125</v>
      </c>
      <c r="O31" s="31">
        <f>SQRT(($I31-$I$11)*($I31-$I$11)+($J31-$J$11)*($J31-$J$11))</f>
        <v>0.18034688796871426</v>
      </c>
      <c r="P31" s="81">
        <f>H31*(D31*D31+E31*E31)/12</f>
        <v>0.09057693578125002</v>
      </c>
      <c r="Q31" s="82">
        <f>P31+H31*O31*O31</f>
        <v>0.37339436006462484</v>
      </c>
    </row>
    <row r="32" spans="1:17" ht="15">
      <c r="A32" s="52"/>
      <c r="B32" s="52"/>
      <c r="C32" s="70"/>
      <c r="D32" s="73"/>
      <c r="E32" s="73"/>
      <c r="F32" s="73"/>
      <c r="G32" s="30"/>
      <c r="H32" s="74"/>
      <c r="I32" s="73"/>
      <c r="J32" s="73"/>
      <c r="K32" s="75"/>
      <c r="L32" s="75"/>
      <c r="M32" s="75"/>
      <c r="N32" s="75"/>
      <c r="O32" s="75"/>
      <c r="P32" s="30"/>
      <c r="Q32" s="75"/>
    </row>
    <row r="33" spans="1:17" ht="15">
      <c r="A33" s="52">
        <v>6</v>
      </c>
      <c r="B33" s="52">
        <v>0</v>
      </c>
      <c r="C33" s="77" t="s">
        <v>102</v>
      </c>
      <c r="D33" s="72">
        <v>0.5</v>
      </c>
      <c r="E33" s="72">
        <v>0.59236</v>
      </c>
      <c r="F33" s="72">
        <v>0.513033</v>
      </c>
      <c r="G33">
        <f>D33*E33*F33</f>
        <v>0.15195011394</v>
      </c>
      <c r="H33" s="67">
        <f>G33*E8</f>
        <v>21.15948757727109</v>
      </c>
      <c r="I33" s="72">
        <v>4.625</v>
      </c>
      <c r="J33" s="72">
        <v>2.2509225254044987</v>
      </c>
      <c r="K33" s="31">
        <f>(I33-$I$11)*H33</f>
        <v>55.43785745245026</v>
      </c>
      <c r="L33" s="31">
        <f>(J33-$J$11)*H33</f>
        <v>21.179007742107295</v>
      </c>
      <c r="M33" s="31">
        <f>I33-$I$11</f>
        <v>2.62</v>
      </c>
      <c r="N33" s="31">
        <f>J33-$J$11</f>
        <v>1.0009225254044987</v>
      </c>
      <c r="O33" s="31">
        <f>SQRT(($I33-$I$11)*($I33-$I$11)+($J33-$J$11)*($J33-$J$11))</f>
        <v>2.8046828522779754</v>
      </c>
      <c r="P33" s="78"/>
      <c r="Q33" s="82">
        <f>P33+H33*O33*O33</f>
        <v>166.44573244021115</v>
      </c>
    </row>
    <row r="34" spans="1:17" ht="15">
      <c r="A34" s="52"/>
      <c r="B34" s="52"/>
      <c r="C34" s="53"/>
      <c r="D34" s="54"/>
      <c r="E34" s="54"/>
      <c r="F34" s="54"/>
      <c r="G34" s="53"/>
      <c r="H34" s="55"/>
      <c r="I34" s="54"/>
      <c r="J34" s="54"/>
      <c r="K34" s="56"/>
      <c r="L34" s="56"/>
      <c r="M34" s="56"/>
      <c r="N34" s="56"/>
      <c r="O34" s="56"/>
      <c r="P34" s="57"/>
      <c r="Q34" s="57"/>
    </row>
    <row r="35" spans="1:17" ht="15">
      <c r="A35" s="79">
        <v>7</v>
      </c>
      <c r="B35" s="79">
        <v>0</v>
      </c>
      <c r="C35" s="80" t="s">
        <v>20</v>
      </c>
      <c r="D35" s="72">
        <v>0.125</v>
      </c>
      <c r="E35" s="72">
        <v>0.5</v>
      </c>
      <c r="F35" s="72">
        <v>3</v>
      </c>
      <c r="G35" s="81">
        <f>D35*E35*F35</f>
        <v>0.1875</v>
      </c>
      <c r="H35" s="67">
        <f>G35*$E$4</f>
        <v>8.249711229375</v>
      </c>
      <c r="I35" s="72">
        <v>8.125</v>
      </c>
      <c r="J35" s="72">
        <v>1.5625</v>
      </c>
      <c r="K35" s="31">
        <f>(I35-$I$11)*H35</f>
        <v>50.488232723775006</v>
      </c>
      <c r="L35" s="31">
        <f>(J35-$J$11)*H35</f>
        <v>2.5780347591796877</v>
      </c>
      <c r="M35" s="31">
        <f>I35-$I$11</f>
        <v>6.12</v>
      </c>
      <c r="N35" s="31">
        <f>J35-$J$11</f>
        <v>0.3125</v>
      </c>
      <c r="O35" s="31">
        <f>SQRT(($I35-$I$11)*($I35-$I$11)+($J35-$J$11)*($J35-$J$11))</f>
        <v>6.127973257937733</v>
      </c>
      <c r="P35" s="81">
        <f>H35*(D35*D35+E35*E35)/12</f>
        <v>0.18261079544189454</v>
      </c>
      <c r="Q35" s="82">
        <f>P35+H35*O35*O35</f>
        <v>309.97623092718857</v>
      </c>
    </row>
    <row r="36" spans="1:15" ht="15">
      <c r="A36" s="6"/>
      <c r="B36" s="6"/>
      <c r="D36" s="2"/>
      <c r="E36" s="2"/>
      <c r="F36" s="2"/>
      <c r="H36" s="9"/>
      <c r="I36" s="2"/>
      <c r="J36" s="2"/>
      <c r="K36" s="21"/>
      <c r="L36" s="21"/>
      <c r="M36" s="21"/>
      <c r="N36" s="21"/>
      <c r="O36" s="21"/>
    </row>
    <row r="37" spans="1:17" ht="15">
      <c r="A37" s="10">
        <v>8</v>
      </c>
      <c r="B37" s="10">
        <v>0</v>
      </c>
      <c r="C37" s="63" t="s">
        <v>16</v>
      </c>
      <c r="D37" s="12" t="s">
        <v>12</v>
      </c>
      <c r="E37" s="12" t="s">
        <v>12</v>
      </c>
      <c r="F37" s="12" t="s">
        <v>12</v>
      </c>
      <c r="G37" s="11">
        <f>SUM(G38:G40)</f>
        <v>0.6227490705016125</v>
      </c>
      <c r="H37" s="16">
        <f>G37*$E$4</f>
        <v>27.39999999999998</v>
      </c>
      <c r="I37" s="117">
        <f>K37/H37+$I$11</f>
        <v>6.375000000000001</v>
      </c>
      <c r="J37" s="117">
        <f>L37/H37+$J$11</f>
        <v>1.7025000000000001</v>
      </c>
      <c r="K37" s="22">
        <f>SUM(K38:K40)</f>
        <v>119.73799999999994</v>
      </c>
      <c r="L37" s="22">
        <f>SUM(L38:L40)</f>
        <v>12.398499999999995</v>
      </c>
      <c r="M37" s="22">
        <f>I37-$I$11</f>
        <v>4.370000000000001</v>
      </c>
      <c r="N37" s="22">
        <f>J37-$J$11</f>
        <v>0.4525000000000001</v>
      </c>
      <c r="O37" s="22">
        <f>SQRT(M37*M37+N37*N37)</f>
        <v>4.393365025808806</v>
      </c>
      <c r="P37" s="16">
        <f>SUM(P38:P40)</f>
        <v>36.67863594632774</v>
      </c>
      <c r="Q37" s="60">
        <f>SUM(Q38:Q40)</f>
        <v>565.8157909463275</v>
      </c>
    </row>
    <row r="38" spans="1:17" ht="15">
      <c r="A38" s="6">
        <v>8</v>
      </c>
      <c r="B38" s="6">
        <v>1</v>
      </c>
      <c r="C38" t="s">
        <v>17</v>
      </c>
      <c r="D38" s="45">
        <v>0.03892181690635079</v>
      </c>
      <c r="E38" s="45">
        <v>4</v>
      </c>
      <c r="F38" s="45">
        <v>3</v>
      </c>
      <c r="G38" s="8">
        <f>D38*E38*F38</f>
        <v>0.46706180287620946</v>
      </c>
      <c r="H38">
        <f>G38*$E$4</f>
        <v>20.54999999999999</v>
      </c>
      <c r="I38" s="2">
        <v>6.375</v>
      </c>
      <c r="J38" s="2">
        <v>1.645</v>
      </c>
      <c r="K38" s="24">
        <f>(I38-$I$11)*H38</f>
        <v>89.80349999999996</v>
      </c>
      <c r="L38" s="24">
        <f>(J38-$J$11)*H38</f>
        <v>8.117249999999997</v>
      </c>
      <c r="M38" s="24">
        <f>I38-$I$11</f>
        <v>4.37</v>
      </c>
      <c r="N38" s="24">
        <f>J38-$J$11</f>
        <v>0.395</v>
      </c>
      <c r="O38" s="24">
        <f>SQRT(M38*M38+N38*N38)</f>
        <v>4.387815515720779</v>
      </c>
      <c r="P38">
        <f>H38*(D38*D38+E38*E38)/12</f>
        <v>27.402594279661077</v>
      </c>
      <c r="Q38" s="21">
        <f>P38+H38*O38*O38</f>
        <v>423.0502030296609</v>
      </c>
    </row>
    <row r="39" spans="1:17" ht="15">
      <c r="A39" s="6">
        <v>8</v>
      </c>
      <c r="B39" s="6">
        <v>2</v>
      </c>
      <c r="C39" t="s">
        <v>18</v>
      </c>
      <c r="D39" s="45">
        <v>0.5</v>
      </c>
      <c r="E39" s="45">
        <v>4</v>
      </c>
      <c r="F39" s="45">
        <f>D38</f>
        <v>0.03892181690635079</v>
      </c>
      <c r="G39" s="8">
        <f>D39*E39*F39</f>
        <v>0.07784363381270158</v>
      </c>
      <c r="H39">
        <f>G39*$E$4</f>
        <v>3.4249999999999985</v>
      </c>
      <c r="I39" s="2">
        <v>6.375</v>
      </c>
      <c r="J39" s="2">
        <v>1.875</v>
      </c>
      <c r="K39" s="31">
        <f>(I39-$I$11)*H39</f>
        <v>14.967249999999995</v>
      </c>
      <c r="L39" s="31">
        <f>(J39-$J$11)*H39</f>
        <v>2.140624999999999</v>
      </c>
      <c r="M39" s="31">
        <f>I39-$I$11</f>
        <v>4.37</v>
      </c>
      <c r="N39" s="31">
        <f>J39-$J$11</f>
        <v>0.625</v>
      </c>
      <c r="O39" s="31">
        <f>SQRT(($I39-$I$11)*($I39-$I$11)+($J39-$J$11)*($J39-$J$11))</f>
        <v>4.414467691579587</v>
      </c>
      <c r="P39">
        <f>H39*(D39*D39+E39*E39)/12</f>
        <v>4.638020833333331</v>
      </c>
      <c r="Q39" s="21">
        <f>P39+H39*O39*O39</f>
        <v>71.38279395833332</v>
      </c>
    </row>
    <row r="40" spans="1:17" ht="15">
      <c r="A40" s="6">
        <v>8</v>
      </c>
      <c r="B40" s="6">
        <v>3</v>
      </c>
      <c r="C40" t="s">
        <v>19</v>
      </c>
      <c r="D40" s="45">
        <v>0.5</v>
      </c>
      <c r="E40" s="45">
        <v>4</v>
      </c>
      <c r="F40" s="45">
        <f>D38</f>
        <v>0.03892181690635079</v>
      </c>
      <c r="G40" s="8">
        <f>D40*E40*F40</f>
        <v>0.07784363381270158</v>
      </c>
      <c r="H40">
        <f>G40*$E$4</f>
        <v>3.4249999999999985</v>
      </c>
      <c r="I40" s="2">
        <v>6.375</v>
      </c>
      <c r="J40" s="2">
        <v>1.875</v>
      </c>
      <c r="K40" s="31">
        <f>(I40-$I$11)*H40</f>
        <v>14.967249999999995</v>
      </c>
      <c r="L40" s="31">
        <f>(J40-$J$11)*H40</f>
        <v>2.140624999999999</v>
      </c>
      <c r="M40" s="31">
        <f>I40-$I$11</f>
        <v>4.37</v>
      </c>
      <c r="N40" s="31">
        <f>J40-$J$11</f>
        <v>0.625</v>
      </c>
      <c r="O40" s="31">
        <f>SQRT(($I40-$I$11)*($I40-$I$11)+($J40-$J$11)*($J40-$J$11))</f>
        <v>4.414467691579587</v>
      </c>
      <c r="P40">
        <f>H40*(D40*D40+E40*E40)/12</f>
        <v>4.638020833333331</v>
      </c>
      <c r="Q40" s="21">
        <f>P40+H40*O40*O40</f>
        <v>71.38279395833332</v>
      </c>
    </row>
    <row r="41" spans="1:15" ht="15">
      <c r="A41" s="6"/>
      <c r="B41" s="6"/>
      <c r="D41" s="2"/>
      <c r="E41" s="2"/>
      <c r="F41" s="2"/>
      <c r="G41" s="8"/>
      <c r="I41" s="2"/>
      <c r="J41" s="2"/>
      <c r="K41" s="21"/>
      <c r="L41" s="21"/>
      <c r="M41" s="21"/>
      <c r="N41" s="21"/>
      <c r="O41" s="21"/>
    </row>
    <row r="42" spans="1:17" ht="15">
      <c r="A42" s="10">
        <v>9</v>
      </c>
      <c r="B42" s="10">
        <v>0</v>
      </c>
      <c r="C42" s="63" t="s">
        <v>70</v>
      </c>
      <c r="D42" s="12" t="s">
        <v>12</v>
      </c>
      <c r="E42" s="12" t="s">
        <v>12</v>
      </c>
      <c r="F42" s="12" t="s">
        <v>12</v>
      </c>
      <c r="G42" s="13">
        <f>SUM(G43:G45)</f>
        <v>0.6227490705016125</v>
      </c>
      <c r="H42" s="16">
        <f>G42*$E$4</f>
        <v>27.39999999999998</v>
      </c>
      <c r="I42" s="117">
        <f>K42/H42+$I$11</f>
        <v>6.375000000000001</v>
      </c>
      <c r="J42" s="117">
        <f>L42/H42+$J$11</f>
        <v>1.4225</v>
      </c>
      <c r="K42" s="22">
        <f>SUM(K43:K45)</f>
        <v>119.73799999999994</v>
      </c>
      <c r="L42" s="22">
        <f>SUM(L43:L45)</f>
        <v>4.726499999999997</v>
      </c>
      <c r="M42" s="22">
        <f>I42-$I$11</f>
        <v>4.370000000000001</v>
      </c>
      <c r="N42" s="22">
        <f>J42-$J$11</f>
        <v>0.1725000000000001</v>
      </c>
      <c r="O42" s="22">
        <f>SQRT(M42*M42+N42*N42)</f>
        <v>4.373403280055477</v>
      </c>
      <c r="P42" s="16">
        <f>SUM(P43:P45)</f>
        <v>36.67863594632774</v>
      </c>
      <c r="Q42" s="60">
        <f>SUM(Q43:Q45)</f>
        <v>561.0207909463276</v>
      </c>
    </row>
    <row r="43" spans="1:17" ht="15">
      <c r="A43" s="6">
        <v>9</v>
      </c>
      <c r="B43" s="6">
        <v>1</v>
      </c>
      <c r="C43" t="s">
        <v>17</v>
      </c>
      <c r="D43" s="45">
        <v>0.03892181690635079</v>
      </c>
      <c r="E43" s="45">
        <v>4</v>
      </c>
      <c r="F43" s="45">
        <v>3</v>
      </c>
      <c r="G43" s="8">
        <f>D43*E43*F43</f>
        <v>0.46706180287620946</v>
      </c>
      <c r="H43">
        <f>G43*$E$4</f>
        <v>20.54999999999999</v>
      </c>
      <c r="I43" s="45">
        <v>6.375</v>
      </c>
      <c r="J43" s="45">
        <v>1.48</v>
      </c>
      <c r="K43" s="24">
        <f>(I43-$I$11)*H43</f>
        <v>89.80349999999996</v>
      </c>
      <c r="L43" s="24">
        <f>(J43-$J$11)*H43</f>
        <v>4.726499999999997</v>
      </c>
      <c r="M43" s="24">
        <f>I43-$I$11</f>
        <v>4.37</v>
      </c>
      <c r="N43" s="24">
        <f>J43-$J$11</f>
        <v>0.22999999999999998</v>
      </c>
      <c r="O43" s="24">
        <f>SQRT(M43*M43+N43*N43)</f>
        <v>4.376048445801303</v>
      </c>
      <c r="P43">
        <f>H43*(D43*D43+E43*E43)/12</f>
        <v>27.402594279661077</v>
      </c>
      <c r="Q43" s="21">
        <f>P43+H43*O43*O43</f>
        <v>420.93098427966095</v>
      </c>
    </row>
    <row r="44" spans="1:17" ht="15">
      <c r="A44" s="6">
        <v>9</v>
      </c>
      <c r="B44" s="6">
        <v>2</v>
      </c>
      <c r="C44" t="s">
        <v>18</v>
      </c>
      <c r="D44" s="45">
        <v>0.5</v>
      </c>
      <c r="E44" s="45">
        <v>4</v>
      </c>
      <c r="F44" s="45">
        <f>D43</f>
        <v>0.03892181690635079</v>
      </c>
      <c r="G44" s="8">
        <f>D44*E44*F44</f>
        <v>0.07784363381270158</v>
      </c>
      <c r="H44">
        <f>G44*$E$4</f>
        <v>3.4249999999999985</v>
      </c>
      <c r="I44" s="45">
        <v>6.375</v>
      </c>
      <c r="J44" s="45">
        <v>1.25</v>
      </c>
      <c r="K44" s="31">
        <f>(I44-$I$11)*H44</f>
        <v>14.967249999999995</v>
      </c>
      <c r="L44" s="31">
        <f>(J44-$J$11)*H44</f>
        <v>0</v>
      </c>
      <c r="M44" s="31">
        <f>I44-$I$11</f>
        <v>4.37</v>
      </c>
      <c r="N44" s="31">
        <f>J44-$J$11</f>
        <v>0</v>
      </c>
      <c r="O44" s="31">
        <f>SQRT(($I44-$I$11)*($I44-$I$11)+($J44-$J$11)*($J44-$J$11))</f>
        <v>4.37</v>
      </c>
      <c r="P44">
        <f>H44*(D44*D44+E44*E44)/12</f>
        <v>4.638020833333331</v>
      </c>
      <c r="Q44" s="21">
        <f>P44+H44*O44*O44</f>
        <v>70.04490333333331</v>
      </c>
    </row>
    <row r="45" spans="1:17" ht="15">
      <c r="A45" s="6">
        <v>9</v>
      </c>
      <c r="B45" s="6">
        <v>3</v>
      </c>
      <c r="C45" t="s">
        <v>19</v>
      </c>
      <c r="D45" s="45">
        <v>0.5</v>
      </c>
      <c r="E45" s="45">
        <v>4</v>
      </c>
      <c r="F45" s="45">
        <f>D43</f>
        <v>0.03892181690635079</v>
      </c>
      <c r="G45" s="8">
        <f>D45*E45*F45</f>
        <v>0.07784363381270158</v>
      </c>
      <c r="H45">
        <f>G45*$E$4</f>
        <v>3.4249999999999985</v>
      </c>
      <c r="I45" s="45">
        <v>6.375</v>
      </c>
      <c r="J45" s="45">
        <v>1.25</v>
      </c>
      <c r="K45" s="31">
        <f>(I45-$I$11)*H45</f>
        <v>14.967249999999995</v>
      </c>
      <c r="L45" s="31">
        <f>(J45-$J$11)*H45</f>
        <v>0</v>
      </c>
      <c r="M45" s="31">
        <f>I45-$I$11</f>
        <v>4.37</v>
      </c>
      <c r="N45" s="31">
        <f>J45-$J$11</f>
        <v>0</v>
      </c>
      <c r="O45" s="31">
        <f>SQRT(($I45-$I$11)*($I45-$I$11)+($J45-$J$11)*($J45-$J$11))</f>
        <v>4.37</v>
      </c>
      <c r="P45">
        <f>H45*(D45*D45+E45*E45)/12</f>
        <v>4.638020833333331</v>
      </c>
      <c r="Q45" s="21">
        <f>P45+H45*O45*O45</f>
        <v>70.04490333333331</v>
      </c>
    </row>
    <row r="46" spans="3:15" ht="15">
      <c r="C46" s="6"/>
      <c r="H46" s="23"/>
      <c r="K46" s="21"/>
      <c r="L46" s="21"/>
      <c r="M46" s="21"/>
      <c r="N46" s="21"/>
      <c r="O46" s="21"/>
    </row>
    <row r="47" spans="1:20" ht="15">
      <c r="A47" s="6">
        <v>10</v>
      </c>
      <c r="B47" s="6">
        <v>0</v>
      </c>
      <c r="C47" s="62" t="s">
        <v>36</v>
      </c>
      <c r="D47" s="12" t="s">
        <v>12</v>
      </c>
      <c r="E47" s="6" t="s">
        <v>82</v>
      </c>
      <c r="F47" s="6" t="s">
        <v>83</v>
      </c>
      <c r="G47">
        <f>SUM(G48:G53)</f>
        <v>1.197734280376286</v>
      </c>
      <c r="H47" s="26">
        <f>SUM(H48:H53)</f>
        <v>55.8</v>
      </c>
      <c r="I47" s="117">
        <f>K47/H47+$I$11</f>
        <v>8.125</v>
      </c>
      <c r="J47" s="117">
        <f>L47/H47+$J$11</f>
        <v>0.903977855195442</v>
      </c>
      <c r="K47" s="22">
        <f>SUM(K48:K53)</f>
        <v>341.496</v>
      </c>
      <c r="L47" s="22">
        <f>SUM(L48:L53)</f>
        <v>-19.30803568009433</v>
      </c>
      <c r="M47" s="22">
        <f aca="true" t="shared" si="7" ref="M47:M53">I47-$I$11</f>
        <v>6.12</v>
      </c>
      <c r="N47" s="22">
        <f aca="true" t="shared" si="8" ref="N47:N53">J47-$J$11</f>
        <v>-0.34602214480455795</v>
      </c>
      <c r="O47" s="22">
        <f>SQRT(M47*M47+N47*N47)</f>
        <v>6.129774165880432</v>
      </c>
      <c r="P47" s="16">
        <f>SUM(P48:P53)</f>
        <v>17.701670594060374</v>
      </c>
      <c r="Q47" s="60">
        <f>SUM(Q48:Q53)</f>
        <v>2117.983854691566</v>
      </c>
      <c r="T47" t="s">
        <v>103</v>
      </c>
    </row>
    <row r="48" spans="1:28" ht="15">
      <c r="A48" s="7">
        <v>10</v>
      </c>
      <c r="B48" s="7">
        <v>1</v>
      </c>
      <c r="C48" s="5" t="s">
        <v>66</v>
      </c>
      <c r="D48" s="50">
        <v>0.2185</v>
      </c>
      <c r="E48" s="50">
        <v>1.6574</v>
      </c>
      <c r="F48" s="50">
        <v>0</v>
      </c>
      <c r="G48" s="5">
        <f>PI()/4*($E48*$E48-$F48*$F48)*$D48</f>
        <v>0.47140696151158745</v>
      </c>
      <c r="H48" s="27">
        <f>G48*$E$6</f>
        <v>10.226273147550309</v>
      </c>
      <c r="I48" s="50">
        <v>8.125</v>
      </c>
      <c r="J48" s="50">
        <v>1.35075</v>
      </c>
      <c r="K48" s="24">
        <f aca="true" t="shared" si="9" ref="K48:K53">(I48-$I$11)*H48</f>
        <v>62.58479166300789</v>
      </c>
      <c r="L48" s="24">
        <f aca="true" t="shared" si="10" ref="L48:L53">(J48-$J$11)*H48</f>
        <v>1.0302970196156926</v>
      </c>
      <c r="M48" s="24">
        <f t="shared" si="7"/>
        <v>6.12</v>
      </c>
      <c r="N48" s="24">
        <f t="shared" si="8"/>
        <v>0.1007499999999999</v>
      </c>
      <c r="O48" s="24">
        <f>SQRT(M48*M48+N48*N48)</f>
        <v>6.120829238142492</v>
      </c>
      <c r="P48">
        <f>H48*(E48*E48/16+D48*D48/3)</f>
        <v>1.918448902133698</v>
      </c>
      <c r="Q48" s="21">
        <f aca="true" t="shared" si="11" ref="Q48:Q53">P48+H48*O48*O48</f>
        <v>385.0411763044683</v>
      </c>
      <c r="T48" s="50">
        <v>0.2185</v>
      </c>
      <c r="U48" s="50">
        <v>1.6574</v>
      </c>
      <c r="V48" s="50">
        <v>0</v>
      </c>
      <c r="W48" s="5">
        <f>PI()/4*($E48*$E48-$F48*$F48)*$D48</f>
        <v>0.47140696151158745</v>
      </c>
      <c r="X48" s="27">
        <f>W48*$E$6</f>
        <v>10.226273147550309</v>
      </c>
      <c r="Y48" s="50">
        <v>8.125</v>
      </c>
      <c r="Z48" s="50">
        <v>1.3507</v>
      </c>
      <c r="AA48" s="24">
        <f>(Y48-$I$11)*X48</f>
        <v>62.58479166300789</v>
      </c>
      <c r="AB48" s="24">
        <f>(Z48-$J$11)*X48</f>
        <v>1.0297857059583162</v>
      </c>
    </row>
    <row r="49" spans="1:28" ht="15">
      <c r="A49" s="6">
        <v>10</v>
      </c>
      <c r="B49" s="6">
        <v>2</v>
      </c>
      <c r="C49" t="s">
        <v>67</v>
      </c>
      <c r="D49" s="51">
        <v>0.2415</v>
      </c>
      <c r="E49" s="51">
        <v>1.6574</v>
      </c>
      <c r="F49" s="51">
        <v>1.257</v>
      </c>
      <c r="G49">
        <f>PI()/4*($E49*$E49-$F49*$F49)*$D49</f>
        <v>0.22133507571712896</v>
      </c>
      <c r="H49" s="23">
        <f>G49*$E$6</f>
        <v>4.801441485206947</v>
      </c>
      <c r="I49" s="51">
        <v>8.125</v>
      </c>
      <c r="J49" s="51">
        <v>1.12075</v>
      </c>
      <c r="K49" s="31">
        <f t="shared" si="9"/>
        <v>29.38482188946652</v>
      </c>
      <c r="L49" s="31">
        <f t="shared" si="10"/>
        <v>-0.6205863119629983</v>
      </c>
      <c r="M49" s="31">
        <f t="shared" si="7"/>
        <v>6.12</v>
      </c>
      <c r="N49" s="31">
        <f t="shared" si="8"/>
        <v>-0.1292500000000001</v>
      </c>
      <c r="O49" s="31">
        <f>SQRT(($I49-$I$11)*($I49-$I$11)+($J49-$J$11)*($J49-$J$11))</f>
        <v>6.121364681384373</v>
      </c>
      <c r="P49">
        <f>H49*(E49*E49/8+D49*D49/12)</f>
        <v>1.672015727323434</v>
      </c>
      <c r="Q49" s="21">
        <f t="shared" si="11"/>
        <v>181.58733647167975</v>
      </c>
      <c r="T49" s="51">
        <v>0.1492</v>
      </c>
      <c r="U49" s="51">
        <v>1.6574</v>
      </c>
      <c r="V49" s="51">
        <v>1.2677</v>
      </c>
      <c r="W49">
        <f>PI()/4*($E49*$E49-$F49*$F49)*$D49</f>
        <v>0.22133507571712896</v>
      </c>
      <c r="X49" s="23">
        <f>W49*$E$6</f>
        <v>4.801441485206947</v>
      </c>
      <c r="Y49" s="51">
        <v>8.125</v>
      </c>
      <c r="Z49" s="51">
        <v>1.1669</v>
      </c>
      <c r="AA49" s="31">
        <f>(Y49-$I$11)*X49</f>
        <v>29.38482188946652</v>
      </c>
      <c r="AB49" s="31">
        <f>(Z49-$J$11)*X49</f>
        <v>-0.3989997874206971</v>
      </c>
    </row>
    <row r="50" spans="1:28" ht="15">
      <c r="A50" s="6">
        <v>10</v>
      </c>
      <c r="B50" s="6">
        <v>3</v>
      </c>
      <c r="C50" t="s">
        <v>68</v>
      </c>
      <c r="D50" s="51">
        <v>0.5</v>
      </c>
      <c r="E50" s="51">
        <v>1.3189</v>
      </c>
      <c r="F50" s="51">
        <v>1.257</v>
      </c>
      <c r="G50">
        <f>PI()/4*($E50*$E50-$F50*$F50)*$D50</f>
        <v>0.06261516564550536</v>
      </c>
      <c r="H50" s="23">
        <f>G50*$E$6</f>
        <v>1.3583163579443802</v>
      </c>
      <c r="I50" s="51">
        <v>8.125</v>
      </c>
      <c r="J50" s="51">
        <v>0.7512</v>
      </c>
      <c r="K50" s="31">
        <f t="shared" si="9"/>
        <v>8.312896110619606</v>
      </c>
      <c r="L50" s="31">
        <f t="shared" si="10"/>
        <v>-0.6775281993426568</v>
      </c>
      <c r="M50" s="31">
        <f t="shared" si="7"/>
        <v>6.12</v>
      </c>
      <c r="N50" s="31">
        <f t="shared" si="8"/>
        <v>-0.4988</v>
      </c>
      <c r="O50" s="31">
        <f>SQRT(($I50-$I$11)*($I50-$I$11)+($J50-$J$11)*($J50-$J$11))</f>
        <v>6.14029326986912</v>
      </c>
      <c r="P50">
        <f>H50*(E50*E50/8+D50*D50/12)</f>
        <v>0.3236466968248759</v>
      </c>
      <c r="Q50" s="21">
        <f t="shared" si="11"/>
        <v>51.536521959648994</v>
      </c>
      <c r="T50" s="51">
        <v>0.4843</v>
      </c>
      <c r="U50" s="51">
        <v>1.3189</v>
      </c>
      <c r="V50" s="51">
        <v>1.2677</v>
      </c>
      <c r="W50">
        <f>PI()/4*($E50*$E50-$F50*$F50)*$D50</f>
        <v>0.06261516564550536</v>
      </c>
      <c r="X50" s="23">
        <f>W50*$E$6</f>
        <v>1.3583163579443802</v>
      </c>
      <c r="Y50" s="51">
        <v>8.125</v>
      </c>
      <c r="Z50" s="51">
        <v>0.8502</v>
      </c>
      <c r="AA50" s="31">
        <f>(Y50-$I$11)*X50</f>
        <v>8.312896110619606</v>
      </c>
      <c r="AB50" s="31">
        <f>(Z50-$J$11)*X50</f>
        <v>-0.5430548799061633</v>
      </c>
    </row>
    <row r="51" spans="1:28" ht="15">
      <c r="A51" s="6">
        <v>10</v>
      </c>
      <c r="B51" s="6">
        <v>4</v>
      </c>
      <c r="C51" t="s">
        <v>69</v>
      </c>
      <c r="D51" s="51">
        <v>0.051</v>
      </c>
      <c r="E51" s="51">
        <v>1.6574</v>
      </c>
      <c r="F51" s="51">
        <v>1.257</v>
      </c>
      <c r="G51">
        <f>PI()/4*($E51*$E51-$F51*$F51)*$D51</f>
        <v>0.046741568784983756</v>
      </c>
      <c r="H51" s="23">
        <f>G51*$E$6</f>
        <v>1.0139690092983615</v>
      </c>
      <c r="I51" s="51">
        <v>8.125</v>
      </c>
      <c r="J51" s="51">
        <v>0.4752</v>
      </c>
      <c r="K51" s="31">
        <f t="shared" si="9"/>
        <v>6.205490336905973</v>
      </c>
      <c r="L51" s="31">
        <f t="shared" si="10"/>
        <v>-0.7856231884043704</v>
      </c>
      <c r="M51" s="31">
        <f t="shared" si="7"/>
        <v>6.12</v>
      </c>
      <c r="N51" s="31">
        <f t="shared" si="8"/>
        <v>-0.7747999999999999</v>
      </c>
      <c r="O51" s="31">
        <f>SQRT(($I51-$I$11)*($I51-$I$11)+($J51-$J$11)*($J51-$J$11))</f>
        <v>6.16885038236461</v>
      </c>
      <c r="P51">
        <f>H51*(E51*E51/8+D51*D51/12)</f>
        <v>0.34838818727836596</v>
      </c>
      <c r="Q51" s="21">
        <f t="shared" si="11"/>
        <v>38.93468989551862</v>
      </c>
      <c r="T51" s="51">
        <v>0.0787</v>
      </c>
      <c r="U51" s="51">
        <v>1.6574</v>
      </c>
      <c r="V51" s="51">
        <v>1.2677</v>
      </c>
      <c r="W51">
        <f>PI()/4*($E51*$E51-$F51*$F51)*$D51</f>
        <v>0.046741568784983756</v>
      </c>
      <c r="X51" s="23">
        <f>W51*$E$6</f>
        <v>1.0139690092983615</v>
      </c>
      <c r="Y51" s="51">
        <v>8.125</v>
      </c>
      <c r="Z51" s="51">
        <v>0.5687</v>
      </c>
      <c r="AA51" s="31">
        <f>(Y51-$I$11)*X51</f>
        <v>6.205490336905973</v>
      </c>
      <c r="AB51" s="31">
        <f>(Z51-$J$11)*X51</f>
        <v>-0.6908170860349737</v>
      </c>
    </row>
    <row r="52" spans="1:28" ht="15">
      <c r="A52" s="6">
        <v>10</v>
      </c>
      <c r="B52" s="6">
        <v>5</v>
      </c>
      <c r="C52" t="s">
        <v>87</v>
      </c>
      <c r="D52" s="51">
        <v>0.5</v>
      </c>
      <c r="E52" s="51">
        <v>1.6574</v>
      </c>
      <c r="F52" s="51">
        <v>1.3189</v>
      </c>
      <c r="G52">
        <f>PI()/4*($E52*$E52-$F52*$F52)*$D52</f>
        <v>0.3956355087170805</v>
      </c>
      <c r="H52" s="23">
        <v>36.9</v>
      </c>
      <c r="I52" s="51">
        <v>8.125</v>
      </c>
      <c r="J52" s="51">
        <v>0.7512</v>
      </c>
      <c r="K52" s="31">
        <f t="shared" si="9"/>
        <v>225.828</v>
      </c>
      <c r="L52" s="31">
        <f t="shared" si="10"/>
        <v>-18.40572</v>
      </c>
      <c r="M52" s="31">
        <f t="shared" si="7"/>
        <v>6.12</v>
      </c>
      <c r="N52" s="31">
        <f t="shared" si="8"/>
        <v>-0.4988</v>
      </c>
      <c r="O52" s="31">
        <f>SQRT(($I52-$I$11)*($I52-$I$11)+($J52-$J$11)*($J52-$J$11))</f>
        <v>6.14029326986912</v>
      </c>
      <c r="P52">
        <f>H52*(E52*E52/8+D52*D52/12)</f>
        <v>13.4391710805</v>
      </c>
      <c r="Q52" s="21">
        <f t="shared" si="11"/>
        <v>1404.6873042165003</v>
      </c>
      <c r="T52" s="51">
        <v>0.4843</v>
      </c>
      <c r="U52" s="51">
        <v>1.6574</v>
      </c>
      <c r="V52" s="51">
        <v>1.3189</v>
      </c>
      <c r="W52">
        <f>PI()/4*($E52*$E52-$F52*$F52)*$D52</f>
        <v>0.3956355087170805</v>
      </c>
      <c r="X52" s="23">
        <f>AC88</f>
        <v>0</v>
      </c>
      <c r="Y52" s="51">
        <v>8.125</v>
      </c>
      <c r="Z52" s="51">
        <v>0.8502</v>
      </c>
      <c r="AA52" s="31">
        <f>(Y52-$I$11)*X52</f>
        <v>0</v>
      </c>
      <c r="AB52" s="31">
        <f>(Z52-$J$11)*X52</f>
        <v>0</v>
      </c>
    </row>
    <row r="53" spans="1:28" ht="15">
      <c r="A53" s="6">
        <v>10</v>
      </c>
      <c r="B53" s="6">
        <v>6</v>
      </c>
      <c r="C53" t="s">
        <v>110</v>
      </c>
      <c r="D53" s="120" t="s">
        <v>12</v>
      </c>
      <c r="E53" s="120" t="s">
        <v>12</v>
      </c>
      <c r="F53" s="120" t="s">
        <v>12</v>
      </c>
      <c r="G53" s="121" t="s">
        <v>12</v>
      </c>
      <c r="H53" s="23">
        <v>1.5</v>
      </c>
      <c r="I53" s="106">
        <v>8.125</v>
      </c>
      <c r="J53" s="106">
        <v>1.35075</v>
      </c>
      <c r="K53" s="31">
        <f t="shared" si="9"/>
        <v>9.18</v>
      </c>
      <c r="L53" s="31">
        <f t="shared" si="10"/>
        <v>0.15112499999999984</v>
      </c>
      <c r="M53" s="31">
        <f t="shared" si="7"/>
        <v>6.12</v>
      </c>
      <c r="N53" s="31">
        <f t="shared" si="8"/>
        <v>0.1007499999999999</v>
      </c>
      <c r="O53" s="31">
        <f>SQRT(($I53-$I$11)*($I53-$I$11)+($J53-$J$11)*($J53-$J$11))</f>
        <v>6.120829238142492</v>
      </c>
      <c r="P53" s="78"/>
      <c r="Q53" s="21">
        <f t="shared" si="11"/>
        <v>56.19682584375</v>
      </c>
      <c r="T53" s="51"/>
      <c r="U53" s="51"/>
      <c r="V53" s="51"/>
      <c r="X53" s="23"/>
      <c r="Y53" s="51"/>
      <c r="Z53" s="51"/>
      <c r="AA53" s="31"/>
      <c r="AB53" s="31"/>
    </row>
    <row r="54" spans="1:36" ht="15">
      <c r="A54" s="6"/>
      <c r="B54" s="6"/>
      <c r="D54" s="120"/>
      <c r="E54" s="120"/>
      <c r="F54" s="120"/>
      <c r="G54" s="121"/>
      <c r="H54" s="23"/>
      <c r="I54" s="124"/>
      <c r="J54" s="124"/>
      <c r="K54" s="75"/>
      <c r="L54" s="75"/>
      <c r="M54" s="75"/>
      <c r="N54" s="75"/>
      <c r="O54" s="75"/>
      <c r="P54" s="30"/>
      <c r="Q54" s="29"/>
      <c r="R54" s="30"/>
      <c r="S54" s="30"/>
      <c r="T54" s="119"/>
      <c r="U54" s="119"/>
      <c r="V54" s="119"/>
      <c r="W54" s="30"/>
      <c r="X54" s="23"/>
      <c r="Y54" s="119"/>
      <c r="Z54" s="119"/>
      <c r="AA54" s="75"/>
      <c r="AB54" s="75"/>
      <c r="AC54" s="30"/>
      <c r="AD54" s="30"/>
      <c r="AE54" s="30"/>
      <c r="AF54" s="30"/>
      <c r="AG54" s="30"/>
      <c r="AH54" s="30"/>
      <c r="AI54" s="30"/>
      <c r="AJ54" s="30"/>
    </row>
    <row r="55" spans="1:17" ht="15">
      <c r="A55" s="6"/>
      <c r="B55" s="6"/>
      <c r="D55" s="21"/>
      <c r="E55" s="21"/>
      <c r="F55" s="123" t="s">
        <v>118</v>
      </c>
      <c r="H55" s="23"/>
      <c r="I55" s="21"/>
      <c r="J55" s="21"/>
      <c r="K55" s="21"/>
      <c r="L55" s="21"/>
      <c r="M55" s="21"/>
      <c r="N55" s="21"/>
      <c r="O55" s="21"/>
      <c r="Q55" s="21"/>
    </row>
    <row r="56" spans="2:17" ht="15">
      <c r="B56" s="6"/>
      <c r="C56" s="62" t="s">
        <v>7</v>
      </c>
      <c r="D56" s="83" t="s">
        <v>7</v>
      </c>
      <c r="E56" s="21"/>
      <c r="F56" s="2">
        <v>99.7</v>
      </c>
      <c r="G56" s="21">
        <f>SUM(G14:G19)</f>
        <v>2.2791</v>
      </c>
      <c r="H56" s="21">
        <f>H13</f>
        <v>100.7937811205325</v>
      </c>
      <c r="I56" s="3">
        <f>H56-F56</f>
        <v>1.0937811205324977</v>
      </c>
      <c r="J56" s="21"/>
      <c r="K56" s="21"/>
      <c r="L56" s="21"/>
      <c r="M56" s="21"/>
      <c r="N56" s="21"/>
      <c r="O56" s="21"/>
      <c r="Q56" s="21"/>
    </row>
    <row r="57" spans="2:17" ht="15">
      <c r="B57" s="6"/>
      <c r="D57" s="87" t="s">
        <v>108</v>
      </c>
      <c r="E57" s="21"/>
      <c r="F57" s="2">
        <f>8.1*2+2.867</f>
        <v>19.067</v>
      </c>
      <c r="G57" s="21">
        <f>SUM(G27)</f>
        <v>0.125</v>
      </c>
      <c r="H57" s="21">
        <f>H29</f>
        <v>17.390771670000003</v>
      </c>
      <c r="I57" s="3">
        <f aca="true" t="shared" si="12" ref="I57:I64">H57-F57</f>
        <v>-1.6762283299999972</v>
      </c>
      <c r="J57" s="21"/>
      <c r="K57" s="21"/>
      <c r="L57" s="21"/>
      <c r="M57" s="21"/>
      <c r="N57" s="21"/>
      <c r="O57" s="21"/>
      <c r="Q57" s="21"/>
    </row>
    <row r="58" spans="2:17" ht="15">
      <c r="B58" s="6"/>
      <c r="D58" s="87" t="s">
        <v>100</v>
      </c>
      <c r="E58" s="21"/>
      <c r="F58" s="91">
        <f>16.8+1.433</f>
        <v>18.233</v>
      </c>
      <c r="G58" s="21">
        <f>SUM(G27)</f>
        <v>0.125</v>
      </c>
      <c r="H58" s="21">
        <f>H27</f>
        <v>17.390771670000003</v>
      </c>
      <c r="I58" s="3">
        <f t="shared" si="12"/>
        <v>-0.8422283299999975</v>
      </c>
      <c r="J58" s="21"/>
      <c r="K58" s="21"/>
      <c r="L58" s="21"/>
      <c r="M58" s="21"/>
      <c r="N58" s="21"/>
      <c r="O58" s="21"/>
      <c r="Q58" s="21"/>
    </row>
    <row r="59" spans="2:17" ht="15">
      <c r="B59" s="6"/>
      <c r="D59" s="83" t="s">
        <v>13</v>
      </c>
      <c r="E59" s="21"/>
      <c r="F59" s="92">
        <f>22.2</f>
        <v>22.2</v>
      </c>
      <c r="G59" s="21">
        <f>SUM(G22:G23)</f>
        <v>0.515625</v>
      </c>
      <c r="H59" s="21">
        <f>H21</f>
        <v>22.686705880781247</v>
      </c>
      <c r="I59" s="3">
        <f t="shared" si="12"/>
        <v>0.48670588078124766</v>
      </c>
      <c r="J59" s="21"/>
      <c r="K59" s="21"/>
      <c r="L59" s="21"/>
      <c r="M59" s="21"/>
      <c r="N59" s="21"/>
      <c r="O59" s="21"/>
      <c r="Q59" s="21"/>
    </row>
    <row r="60" spans="1:17" ht="15">
      <c r="A60" s="21">
        <f>SUM(H59:H62)</f>
        <v>85.73641711015621</v>
      </c>
      <c r="B60" s="6"/>
      <c r="D60" s="83" t="s">
        <v>16</v>
      </c>
      <c r="E60" s="21"/>
      <c r="F60" s="93">
        <f>54.8/2</f>
        <v>27.4</v>
      </c>
      <c r="G60" s="21">
        <f>SUM(G38:G40)</f>
        <v>0.6227490705016125</v>
      </c>
      <c r="H60" s="21">
        <f>H37</f>
        <v>27.39999999999998</v>
      </c>
      <c r="I60" s="3">
        <f t="shared" si="12"/>
        <v>0</v>
      </c>
      <c r="J60" s="21"/>
      <c r="K60" s="21"/>
      <c r="L60" s="21"/>
      <c r="M60" s="21"/>
      <c r="N60" s="21"/>
      <c r="O60" s="21"/>
      <c r="Q60" s="21"/>
    </row>
    <row r="61" spans="2:17" ht="15">
      <c r="B61" s="6"/>
      <c r="D61" s="83" t="s">
        <v>20</v>
      </c>
      <c r="E61" s="21"/>
      <c r="F61" s="92">
        <v>8.1</v>
      </c>
      <c r="G61" s="21">
        <f>SUM(G35)</f>
        <v>0.1875</v>
      </c>
      <c r="H61" s="21">
        <f>H35</f>
        <v>8.249711229375</v>
      </c>
      <c r="I61" s="3">
        <f t="shared" si="12"/>
        <v>0.1497112293750007</v>
      </c>
      <c r="J61" s="21"/>
      <c r="K61" s="21"/>
      <c r="L61" s="21"/>
      <c r="M61" s="21"/>
      <c r="N61" s="21"/>
      <c r="O61" s="21"/>
      <c r="Q61" s="21"/>
    </row>
    <row r="62" spans="2:17" ht="15">
      <c r="B62" s="6"/>
      <c r="D62" s="83" t="s">
        <v>70</v>
      </c>
      <c r="E62" s="21"/>
      <c r="F62" s="93">
        <f>54.8/2</f>
        <v>27.4</v>
      </c>
      <c r="G62" s="21">
        <f>SUM(G43:G45)</f>
        <v>0.6227490705016125</v>
      </c>
      <c r="H62" s="21">
        <f>SUM(H43:H45)</f>
        <v>27.399999999999984</v>
      </c>
      <c r="I62" s="3">
        <f t="shared" si="12"/>
        <v>0</v>
      </c>
      <c r="J62" s="21"/>
      <c r="K62" s="21"/>
      <c r="L62" s="21"/>
      <c r="M62" s="21"/>
      <c r="N62" s="21"/>
      <c r="O62" s="21"/>
      <c r="Q62" s="21"/>
    </row>
    <row r="63" spans="2:17" ht="15">
      <c r="B63" s="6"/>
      <c r="D63" s="83" t="s">
        <v>117</v>
      </c>
      <c r="E63" s="21"/>
      <c r="F63" s="42">
        <f>H25</f>
        <v>3.7</v>
      </c>
      <c r="G63" s="52" t="s">
        <v>12</v>
      </c>
      <c r="H63" s="21">
        <v>3.7</v>
      </c>
      <c r="I63" s="3">
        <f t="shared" si="12"/>
        <v>0</v>
      </c>
      <c r="J63" s="21"/>
      <c r="K63" s="21"/>
      <c r="L63" s="21"/>
      <c r="M63" s="21"/>
      <c r="N63" s="21"/>
      <c r="O63" s="21"/>
      <c r="Q63" s="21"/>
    </row>
    <row r="64" spans="2:17" ht="15.75" thickBot="1">
      <c r="B64" s="6"/>
      <c r="D64" s="83" t="s">
        <v>119</v>
      </c>
      <c r="E64" s="21"/>
      <c r="F64" s="2">
        <v>55.8</v>
      </c>
      <c r="G64" s="21">
        <f>SUM(G48:G53)</f>
        <v>1.197734280376286</v>
      </c>
      <c r="H64" s="21">
        <f>H47</f>
        <v>55.8</v>
      </c>
      <c r="I64" s="3">
        <f t="shared" si="12"/>
        <v>0</v>
      </c>
      <c r="J64" s="21"/>
      <c r="K64" s="21"/>
      <c r="L64" s="21"/>
      <c r="M64" s="21"/>
      <c r="N64" s="21"/>
      <c r="O64" s="21"/>
      <c r="Q64" s="21"/>
    </row>
    <row r="65" spans="2:17" ht="15">
      <c r="B65" s="6"/>
      <c r="D65" s="88" t="s">
        <v>107</v>
      </c>
      <c r="F65" s="94">
        <f>SUM(F56:F64)</f>
        <v>281.59999999999997</v>
      </c>
      <c r="G65" s="89">
        <f>SUM(G56:G64)</f>
        <v>5.6754574213795115</v>
      </c>
      <c r="H65" s="89">
        <f>SUM(H56:H64)</f>
        <v>280.8117415706887</v>
      </c>
      <c r="I65" s="21"/>
      <c r="J65" s="21"/>
      <c r="K65" s="21"/>
      <c r="L65" s="21"/>
      <c r="M65" s="21"/>
      <c r="N65" s="21"/>
      <c r="O65" s="21"/>
      <c r="Q65" s="21"/>
    </row>
    <row r="66" spans="1:17" ht="15">
      <c r="A66" s="84"/>
      <c r="B66" s="6"/>
      <c r="D66" s="87" t="s">
        <v>102</v>
      </c>
      <c r="E66" s="21"/>
      <c r="F66" s="21"/>
      <c r="G66" s="21">
        <f>SUM(G33)</f>
        <v>0.15195011394</v>
      </c>
      <c r="H66" s="21">
        <f>H33</f>
        <v>21.15948757727109</v>
      </c>
      <c r="I66" s="21"/>
      <c r="J66" s="21"/>
      <c r="K66" s="21"/>
      <c r="L66" s="21"/>
      <c r="M66" s="21"/>
      <c r="N66" s="21"/>
      <c r="O66" s="21"/>
      <c r="Q66" s="21"/>
    </row>
    <row r="67" spans="1:17" ht="15">
      <c r="A67" s="84"/>
      <c r="B67" s="6"/>
      <c r="D67" s="88" t="s">
        <v>107</v>
      </c>
      <c r="E67" s="21"/>
      <c r="F67" s="21"/>
      <c r="G67" s="21">
        <f>G65+G66</f>
        <v>5.827407535319511</v>
      </c>
      <c r="H67" s="21">
        <f>H65+H66</f>
        <v>301.9712291479598</v>
      </c>
      <c r="I67" s="21"/>
      <c r="J67" s="21"/>
      <c r="K67" s="21"/>
      <c r="L67" s="21"/>
      <c r="M67" s="21"/>
      <c r="N67" s="21"/>
      <c r="O67" s="21"/>
      <c r="Q67" s="21"/>
    </row>
    <row r="68" spans="1:17" ht="15" thickBot="1">
      <c r="A68" s="85"/>
      <c r="B68" s="6"/>
      <c r="I68" s="21"/>
      <c r="J68" s="21"/>
      <c r="K68" s="21"/>
      <c r="L68" s="21"/>
      <c r="M68" s="21"/>
      <c r="N68" s="21"/>
      <c r="O68" s="21"/>
      <c r="Q68" s="21"/>
    </row>
    <row r="69" spans="2:18" ht="15.75" thickBot="1" thickTop="1">
      <c r="B69" s="6"/>
      <c r="E69" s="2">
        <f>SUM(F59:F62)</f>
        <v>85.1</v>
      </c>
      <c r="G69" s="160" t="s">
        <v>88</v>
      </c>
      <c r="H69" s="161"/>
      <c r="I69" s="162"/>
      <c r="J69" s="21"/>
      <c r="K69" s="39">
        <f>SUM(K14:K52)</f>
        <v>1486.212385527089</v>
      </c>
      <c r="L69" s="39">
        <f>SUM(L14:L52)</f>
        <v>4.110307199732304</v>
      </c>
      <c r="M69" s="39"/>
      <c r="N69" s="39"/>
      <c r="O69" s="40" t="s">
        <v>79</v>
      </c>
      <c r="P69" s="41" t="s">
        <v>55</v>
      </c>
      <c r="Q69" s="39">
        <f>Q13+Q21+Q27+Q35+Q37+Q42+Q47</f>
        <v>3958.2627368310527</v>
      </c>
      <c r="R69" t="s">
        <v>79</v>
      </c>
    </row>
    <row r="70" spans="1:17" ht="15">
      <c r="A70" s="84"/>
      <c r="B70" s="6"/>
      <c r="D70" s="21"/>
      <c r="G70" s="32" t="s">
        <v>109</v>
      </c>
      <c r="H70" s="71">
        <f>H13+H21+H27+H29+H35+H37+H42+H47</f>
        <v>277.1117415706887</v>
      </c>
      <c r="I70" s="35" t="s">
        <v>27</v>
      </c>
      <c r="J70" s="29"/>
      <c r="K70" s="29"/>
      <c r="L70" s="29"/>
      <c r="M70" s="29"/>
      <c r="N70" s="29"/>
      <c r="O70" s="29"/>
      <c r="P70" s="30"/>
      <c r="Q70" s="29"/>
    </row>
    <row r="71" spans="1:17" ht="15">
      <c r="A71" s="85"/>
      <c r="B71" s="6"/>
      <c r="G71" s="33" t="s">
        <v>102</v>
      </c>
      <c r="H71" s="26">
        <f>H33</f>
        <v>21.15948757727109</v>
      </c>
      <c r="I71" s="90" t="s">
        <v>27</v>
      </c>
      <c r="J71" s="29"/>
      <c r="K71" s="29"/>
      <c r="L71" s="29"/>
      <c r="M71" s="29"/>
      <c r="N71" s="29"/>
      <c r="O71" s="29"/>
      <c r="P71" s="30"/>
      <c r="Q71" s="29"/>
    </row>
    <row r="72" spans="1:15" ht="15">
      <c r="A72" s="84"/>
      <c r="B72" s="6"/>
      <c r="G72" s="33" t="s">
        <v>77</v>
      </c>
      <c r="H72" s="66">
        <f>SQRT(Q69/H70)</f>
        <v>3.7794172858932487</v>
      </c>
      <c r="I72" s="36" t="s">
        <v>76</v>
      </c>
      <c r="J72" s="21"/>
      <c r="K72" s="21"/>
      <c r="L72" s="21"/>
      <c r="M72" s="21"/>
      <c r="N72" s="21"/>
      <c r="O72" s="21"/>
    </row>
    <row r="73" spans="1:15" ht="15">
      <c r="A73" s="84"/>
      <c r="B73" s="6"/>
      <c r="G73" s="33" t="s">
        <v>74</v>
      </c>
      <c r="H73" s="66">
        <f>K69/H70</f>
        <v>5.363224153199476</v>
      </c>
      <c r="I73" s="36" t="s">
        <v>76</v>
      </c>
      <c r="J73" s="21"/>
      <c r="K73" s="21"/>
      <c r="L73" s="21"/>
      <c r="M73" s="21"/>
      <c r="N73" s="21"/>
      <c r="O73" s="21"/>
    </row>
    <row r="74" spans="1:15" ht="15">
      <c r="A74" s="84"/>
      <c r="B74" s="6"/>
      <c r="G74" s="33" t="s">
        <v>75</v>
      </c>
      <c r="H74" s="66">
        <f>L69/H70</f>
        <v>0.014832670663591502</v>
      </c>
      <c r="I74" s="37" t="s">
        <v>76</v>
      </c>
      <c r="J74" s="21"/>
      <c r="K74" s="21"/>
      <c r="L74" s="21"/>
      <c r="M74" s="21"/>
      <c r="N74" s="21"/>
      <c r="O74" s="21"/>
    </row>
    <row r="75" spans="1:15" ht="15">
      <c r="A75" s="86"/>
      <c r="B75" s="6"/>
      <c r="G75" s="33" t="s">
        <v>78</v>
      </c>
      <c r="H75" s="66">
        <f>SQRT(H73*H73+H74*H74)</f>
        <v>5.363244663968002</v>
      </c>
      <c r="I75" s="37" t="s">
        <v>76</v>
      </c>
      <c r="J75" s="21"/>
      <c r="K75" s="21"/>
      <c r="L75" s="21"/>
      <c r="M75" s="21"/>
      <c r="N75" s="21"/>
      <c r="O75" s="21"/>
    </row>
    <row r="76" spans="1:15" ht="18">
      <c r="A76" s="84"/>
      <c r="B76" s="6"/>
      <c r="G76" s="33" t="s">
        <v>80</v>
      </c>
      <c r="H76" s="66">
        <f>H73+I11</f>
        <v>7.368224153199476</v>
      </c>
      <c r="I76" s="37" t="s">
        <v>76</v>
      </c>
      <c r="J76" s="21"/>
      <c r="K76" s="21"/>
      <c r="L76" s="21"/>
      <c r="M76" s="21"/>
      <c r="N76" s="21"/>
      <c r="O76" s="21"/>
    </row>
    <row r="77" spans="1:15" ht="18">
      <c r="A77" s="87"/>
      <c r="B77" s="6"/>
      <c r="G77" s="33" t="s">
        <v>81</v>
      </c>
      <c r="H77" s="66">
        <f>H74+J11</f>
        <v>1.2648326706635915</v>
      </c>
      <c r="I77" s="37" t="s">
        <v>76</v>
      </c>
      <c r="J77" s="21"/>
      <c r="K77" s="21"/>
      <c r="L77" s="21"/>
      <c r="M77" s="21"/>
      <c r="N77" s="21"/>
      <c r="O77" s="21"/>
    </row>
    <row r="78" spans="1:15" ht="15.75" thickBot="1">
      <c r="A78" s="87"/>
      <c r="B78" s="6"/>
      <c r="G78" s="34" t="s">
        <v>73</v>
      </c>
      <c r="H78" s="68">
        <f>Q69/(H75*H75)</f>
        <v>137.6098112700615</v>
      </c>
      <c r="I78" s="38" t="s">
        <v>27</v>
      </c>
      <c r="J78" s="21"/>
      <c r="K78" s="21"/>
      <c r="L78" s="21"/>
      <c r="M78" s="21"/>
      <c r="N78" s="21"/>
      <c r="O78" s="21"/>
    </row>
    <row r="79" spans="1:18" ht="15.75" thickBot="1">
      <c r="A79" s="86"/>
      <c r="C79" s="6" t="s">
        <v>36</v>
      </c>
      <c r="I79" s="21"/>
      <c r="J79" s="21"/>
      <c r="K79" s="21"/>
      <c r="L79" s="21"/>
      <c r="M79" s="21"/>
      <c r="N79" s="163" t="s">
        <v>113</v>
      </c>
      <c r="O79" s="164"/>
      <c r="P79" s="164"/>
      <c r="Q79" s="164"/>
      <c r="R79" s="165"/>
    </row>
    <row r="80" spans="1:18" ht="17.25">
      <c r="A80" s="84"/>
      <c r="C80">
        <v>137</v>
      </c>
      <c r="D80" t="s">
        <v>22</v>
      </c>
      <c r="G80" t="s">
        <v>46</v>
      </c>
      <c r="H80">
        <v>0.395636</v>
      </c>
      <c r="I80" t="s">
        <v>51</v>
      </c>
      <c r="N80" s="33" t="s">
        <v>50</v>
      </c>
      <c r="O80" s="81">
        <v>0.47140696151158745</v>
      </c>
      <c r="P80" s="81" t="s">
        <v>51</v>
      </c>
      <c r="Q80" s="67">
        <f>O80*$O$85</f>
        <v>10.226273147550309</v>
      </c>
      <c r="R80" s="90" t="s">
        <v>63</v>
      </c>
    </row>
    <row r="81" spans="1:18" ht="17.25">
      <c r="A81" s="84"/>
      <c r="C81" s="17" t="s">
        <v>21</v>
      </c>
      <c r="D81">
        <v>0.38335</v>
      </c>
      <c r="E81" t="s">
        <v>33</v>
      </c>
      <c r="F81" s="2"/>
      <c r="G81" t="s">
        <v>48</v>
      </c>
      <c r="H81">
        <v>2.181201</v>
      </c>
      <c r="I81" t="s">
        <v>51</v>
      </c>
      <c r="N81" s="33" t="s">
        <v>52</v>
      </c>
      <c r="O81" s="81">
        <v>0.22133507571712896</v>
      </c>
      <c r="P81" s="81" t="s">
        <v>51</v>
      </c>
      <c r="Q81" s="67">
        <f>O81*$O$85</f>
        <v>4.801441485206947</v>
      </c>
      <c r="R81" s="90" t="s">
        <v>63</v>
      </c>
    </row>
    <row r="82" spans="1:18" ht="17.25">
      <c r="A82" s="84"/>
      <c r="C82" s="17" t="s">
        <v>24</v>
      </c>
      <c r="D82" s="3">
        <f>C80/D81</f>
        <v>357.3757662710317</v>
      </c>
      <c r="E82" t="s">
        <v>32</v>
      </c>
      <c r="G82" t="s">
        <v>47</v>
      </c>
      <c r="H82">
        <v>-0.983466</v>
      </c>
      <c r="I82" t="s">
        <v>51</v>
      </c>
      <c r="N82" s="33" t="s">
        <v>53</v>
      </c>
      <c r="O82" s="81">
        <v>0.06261516564550536</v>
      </c>
      <c r="P82" s="81" t="s">
        <v>51</v>
      </c>
      <c r="Q82" s="67">
        <f>O82*$O$85</f>
        <v>1.3583163579443802</v>
      </c>
      <c r="R82" s="90" t="s">
        <v>63</v>
      </c>
    </row>
    <row r="83" spans="1:18" ht="18" thickBot="1">
      <c r="A83" s="84"/>
      <c r="C83" s="18" t="s">
        <v>34</v>
      </c>
      <c r="D83" t="s">
        <v>35</v>
      </c>
      <c r="G83" t="s">
        <v>49</v>
      </c>
      <c r="H83">
        <f>H81-H80+H82</f>
        <v>0.8020990000000001</v>
      </c>
      <c r="I83" t="s">
        <v>51</v>
      </c>
      <c r="N83" s="33" t="s">
        <v>54</v>
      </c>
      <c r="O83" s="81">
        <v>0.046741568784983756</v>
      </c>
      <c r="P83" s="81" t="s">
        <v>51</v>
      </c>
      <c r="Q83" s="67">
        <f>O83*$O$85</f>
        <v>1.0139690092983615</v>
      </c>
      <c r="R83" s="90" t="s">
        <v>63</v>
      </c>
    </row>
    <row r="84" spans="1:18" ht="17.25">
      <c r="A84" s="84"/>
      <c r="G84" s="17" t="s">
        <v>24</v>
      </c>
      <c r="H84">
        <f>H85/H83</f>
        <v>21.817755663577685</v>
      </c>
      <c r="I84" t="s">
        <v>45</v>
      </c>
      <c r="K84" s="18"/>
      <c r="M84" s="18"/>
      <c r="N84" s="96" t="s">
        <v>111</v>
      </c>
      <c r="O84" s="102">
        <f>SUM(O80:O83)</f>
        <v>0.8020987716592056</v>
      </c>
      <c r="P84" s="81" t="s">
        <v>51</v>
      </c>
      <c r="Q84" s="104">
        <f>O84*$O$85</f>
        <v>17.4</v>
      </c>
      <c r="R84" s="90" t="s">
        <v>63</v>
      </c>
    </row>
    <row r="85" spans="1:18" ht="17.25">
      <c r="A85" s="84"/>
      <c r="C85" s="6" t="s">
        <v>23</v>
      </c>
      <c r="D85">
        <v>0.1201</v>
      </c>
      <c r="E85" t="s">
        <v>29</v>
      </c>
      <c r="H85">
        <v>17.5</v>
      </c>
      <c r="I85" t="s">
        <v>27</v>
      </c>
      <c r="K85" s="18"/>
      <c r="M85" s="18"/>
      <c r="N85" s="96" t="s">
        <v>5</v>
      </c>
      <c r="O85" s="67">
        <f>17.4/O84</f>
        <v>21.693088949639836</v>
      </c>
      <c r="P85" s="81" t="s">
        <v>45</v>
      </c>
      <c r="Q85" s="81"/>
      <c r="R85" s="90"/>
    </row>
    <row r="86" spans="1:18" ht="15">
      <c r="A86" s="84"/>
      <c r="C86" s="17" t="s">
        <v>21</v>
      </c>
      <c r="D86">
        <v>261.3</v>
      </c>
      <c r="E86" t="s">
        <v>28</v>
      </c>
      <c r="K86" s="17"/>
      <c r="M86" s="17"/>
      <c r="N86" s="97" t="s">
        <v>24</v>
      </c>
      <c r="O86" s="81">
        <f>O84*O85</f>
        <v>17.4</v>
      </c>
      <c r="P86" s="81" t="s">
        <v>27</v>
      </c>
      <c r="Q86" s="81"/>
      <c r="R86" s="90"/>
    </row>
    <row r="87" spans="1:18" ht="15">
      <c r="A87" s="84"/>
      <c r="C87" s="17" t="s">
        <v>24</v>
      </c>
      <c r="D87" s="8">
        <f>D85/D86</f>
        <v>0.0004596249521622656</v>
      </c>
      <c r="E87" t="s">
        <v>30</v>
      </c>
      <c r="G87" t="s">
        <v>61</v>
      </c>
      <c r="K87" s="17"/>
      <c r="M87" s="17"/>
      <c r="N87" s="33" t="s">
        <v>114</v>
      </c>
      <c r="O87" s="81">
        <v>1.5</v>
      </c>
      <c r="P87" s="81" t="s">
        <v>27</v>
      </c>
      <c r="Q87" s="81"/>
      <c r="R87" s="90"/>
    </row>
    <row r="88" spans="1:18" ht="15" thickBot="1">
      <c r="A88" s="84"/>
      <c r="C88" s="18" t="s">
        <v>5</v>
      </c>
      <c r="D88">
        <v>137</v>
      </c>
      <c r="E88" t="s">
        <v>25</v>
      </c>
      <c r="G88" t="s">
        <v>56</v>
      </c>
      <c r="H88">
        <v>1309</v>
      </c>
      <c r="I88" t="s">
        <v>58</v>
      </c>
      <c r="K88" s="17"/>
      <c r="M88" s="17"/>
      <c r="N88" s="98" t="s">
        <v>115</v>
      </c>
      <c r="O88" s="105">
        <f>55.8-O86-O87</f>
        <v>36.9</v>
      </c>
      <c r="P88" s="81" t="s">
        <v>27</v>
      </c>
      <c r="Q88" s="81"/>
      <c r="R88" s="90"/>
    </row>
    <row r="89" spans="3:18" ht="18" thickBot="1">
      <c r="C89" s="17" t="s">
        <v>24</v>
      </c>
      <c r="D89">
        <f>D87*D88</f>
        <v>0.06296861844623039</v>
      </c>
      <c r="E89" t="s">
        <v>26</v>
      </c>
      <c r="G89" t="s">
        <v>59</v>
      </c>
      <c r="H89">
        <f>(10.75*10.75-9.564*9.564)*PI()/4*1200</f>
        <v>22706.555824115207</v>
      </c>
      <c r="I89" t="s">
        <v>57</v>
      </c>
      <c r="N89" s="99" t="s">
        <v>112</v>
      </c>
      <c r="O89" s="103">
        <f>SUM(O86:O88)</f>
        <v>55.8</v>
      </c>
      <c r="P89" s="100" t="s">
        <v>27</v>
      </c>
      <c r="Q89" s="100"/>
      <c r="R89" s="101"/>
    </row>
    <row r="90" spans="3:14" ht="17.25">
      <c r="C90" s="18" t="s">
        <v>5</v>
      </c>
      <c r="D90" s="3">
        <v>453.59237</v>
      </c>
      <c r="E90" t="s">
        <v>31</v>
      </c>
      <c r="G90" s="17" t="s">
        <v>24</v>
      </c>
      <c r="H90">
        <f>H88/H89</f>
        <v>0.05764854917405806</v>
      </c>
      <c r="I90" t="s">
        <v>2</v>
      </c>
      <c r="N90" s="17"/>
    </row>
    <row r="91" spans="3:14" ht="15">
      <c r="C91" s="17" t="s">
        <v>24</v>
      </c>
      <c r="D91" s="3">
        <f>D89*D90</f>
        <v>28.56208487665136</v>
      </c>
      <c r="E91" t="s">
        <v>62</v>
      </c>
      <c r="G91" s="18" t="s">
        <v>5</v>
      </c>
      <c r="H91" s="3">
        <v>453.59237</v>
      </c>
      <c r="I91" s="76" t="s">
        <v>60</v>
      </c>
      <c r="N91" s="17"/>
    </row>
    <row r="92" spans="3:9" ht="17.25">
      <c r="C92" s="17" t="s">
        <v>37</v>
      </c>
      <c r="D92">
        <v>50.4</v>
      </c>
      <c r="E92" t="s">
        <v>38</v>
      </c>
      <c r="G92" s="17" t="s">
        <v>24</v>
      </c>
      <c r="H92">
        <f>H90*H91</f>
        <v>26.14894204692254</v>
      </c>
      <c r="I92" t="s">
        <v>11</v>
      </c>
    </row>
    <row r="93" spans="3:5" ht="15">
      <c r="C93" s="17" t="s">
        <v>24</v>
      </c>
      <c r="D93" s="3">
        <f>D92-D91</f>
        <v>21.837915123348637</v>
      </c>
      <c r="E93" t="s">
        <v>39</v>
      </c>
    </row>
    <row r="95" spans="3:15" ht="17.25">
      <c r="C95" s="18" t="s">
        <v>40</v>
      </c>
      <c r="D95">
        <v>1330</v>
      </c>
      <c r="E95" t="s">
        <v>41</v>
      </c>
      <c r="O95" s="95"/>
    </row>
    <row r="96" spans="3:5" ht="17.25">
      <c r="C96" s="17" t="s">
        <v>24</v>
      </c>
      <c r="D96" s="19">
        <f>D95*1000</f>
        <v>1330000</v>
      </c>
      <c r="E96" t="s">
        <v>42</v>
      </c>
    </row>
    <row r="97" spans="3:5" ht="17.25">
      <c r="C97" s="17" t="s">
        <v>24</v>
      </c>
      <c r="D97">
        <f>D96/1000000</f>
        <v>1.33</v>
      </c>
      <c r="E97" t="s">
        <v>43</v>
      </c>
    </row>
    <row r="98" spans="3:5" ht="17.25">
      <c r="C98" s="18" t="s">
        <v>5</v>
      </c>
      <c r="D98">
        <f>2.54*2.54*2.54</f>
        <v>16.387064</v>
      </c>
      <c r="E98" t="s">
        <v>44</v>
      </c>
    </row>
    <row r="99" spans="3:5" ht="17.25">
      <c r="C99" s="17" t="s">
        <v>24</v>
      </c>
      <c r="D99">
        <f>D97*D98</f>
        <v>21.79479512</v>
      </c>
      <c r="E99" t="s">
        <v>45</v>
      </c>
    </row>
    <row r="101" spans="3:9" ht="15">
      <c r="C101" s="166" t="s">
        <v>120</v>
      </c>
      <c r="D101" s="167"/>
      <c r="E101" s="167"/>
      <c r="F101" s="167"/>
      <c r="G101" s="168"/>
      <c r="H101" s="168"/>
      <c r="I101" s="168"/>
    </row>
    <row r="102" spans="4:9" ht="15">
      <c r="D102" s="125" t="s">
        <v>121</v>
      </c>
      <c r="E102" s="4" t="s">
        <v>122</v>
      </c>
      <c r="F102" s="125" t="s">
        <v>147</v>
      </c>
      <c r="G102" s="125" t="s">
        <v>148</v>
      </c>
      <c r="H102" s="125" t="s">
        <v>149</v>
      </c>
      <c r="I102" s="4" t="s">
        <v>123</v>
      </c>
    </row>
    <row r="103" spans="3:9" ht="15">
      <c r="C103" t="s">
        <v>124</v>
      </c>
      <c r="D103" s="128">
        <v>1</v>
      </c>
      <c r="E103" s="128">
        <v>1</v>
      </c>
      <c r="F103" s="128">
        <v>1</v>
      </c>
      <c r="G103" s="128">
        <v>1</v>
      </c>
      <c r="H103" s="128">
        <v>1</v>
      </c>
      <c r="I103" s="128">
        <v>1</v>
      </c>
    </row>
    <row r="104" spans="3:9" ht="15">
      <c r="C104" t="s">
        <v>145</v>
      </c>
      <c r="D104" s="21">
        <v>0.09665</v>
      </c>
      <c r="E104" s="21">
        <v>0.11885</v>
      </c>
      <c r="F104" s="21">
        <f>(0.164+0.1257)/2</f>
        <v>0.14485</v>
      </c>
      <c r="G104" s="21">
        <v>0.16445</v>
      </c>
      <c r="H104" s="21">
        <v>0.17085</v>
      </c>
      <c r="I104" s="21">
        <v>0.21935</v>
      </c>
    </row>
    <row r="105" spans="3:9" ht="15">
      <c r="C105" t="s">
        <v>146</v>
      </c>
      <c r="D105" s="21">
        <f aca="true" t="shared" si="13" ref="D105:I105">D104/2</f>
        <v>0.048325</v>
      </c>
      <c r="E105" s="21">
        <f t="shared" si="13"/>
        <v>0.059425</v>
      </c>
      <c r="F105" s="21">
        <f t="shared" si="13"/>
        <v>0.072425</v>
      </c>
      <c r="G105" s="21">
        <f t="shared" si="13"/>
        <v>0.082225</v>
      </c>
      <c r="H105" s="21">
        <f t="shared" si="13"/>
        <v>0.085425</v>
      </c>
      <c r="I105" s="21">
        <f t="shared" si="13"/>
        <v>0.109675</v>
      </c>
    </row>
    <row r="106" spans="3:9" ht="15">
      <c r="C106" t="s">
        <v>141</v>
      </c>
      <c r="D106" s="21">
        <v>0.116</v>
      </c>
      <c r="E106" s="21">
        <v>0.144</v>
      </c>
      <c r="F106" s="21">
        <v>0.1695</v>
      </c>
      <c r="G106" s="21">
        <v>0.196</v>
      </c>
      <c r="H106" s="21">
        <v>0.196</v>
      </c>
      <c r="I106" s="21">
        <v>0.257</v>
      </c>
    </row>
    <row r="107" spans="3:9" ht="15">
      <c r="C107" t="s">
        <v>142</v>
      </c>
      <c r="D107" s="21">
        <f aca="true" t="shared" si="14" ref="D107:I107">D106/2</f>
        <v>0.058</v>
      </c>
      <c r="E107" s="21">
        <f t="shared" si="14"/>
        <v>0.072</v>
      </c>
      <c r="F107" s="21">
        <f t="shared" si="14"/>
        <v>0.08475</v>
      </c>
      <c r="G107" s="21">
        <f t="shared" si="14"/>
        <v>0.098</v>
      </c>
      <c r="H107" s="21">
        <f t="shared" si="14"/>
        <v>0.098</v>
      </c>
      <c r="I107" s="21">
        <f t="shared" si="14"/>
        <v>0.1285</v>
      </c>
    </row>
    <row r="108" spans="3:9" ht="15">
      <c r="C108" t="s">
        <v>126</v>
      </c>
      <c r="D108" s="21">
        <v>0.11</v>
      </c>
      <c r="E108" s="21">
        <v>0.136</v>
      </c>
      <c r="F108" s="21">
        <v>0.1615</v>
      </c>
      <c r="G108" s="21">
        <v>0.1875</v>
      </c>
      <c r="H108" s="21">
        <v>0.1875</v>
      </c>
      <c r="I108" s="21">
        <v>0.1875</v>
      </c>
    </row>
    <row r="109" spans="3:9" ht="15">
      <c r="C109" t="s">
        <v>127</v>
      </c>
      <c r="D109" s="21">
        <v>0.182</v>
      </c>
      <c r="E109" s="21">
        <v>0.222</v>
      </c>
      <c r="F109" s="21">
        <v>0.266</v>
      </c>
      <c r="G109" s="21">
        <v>0.3075</v>
      </c>
      <c r="H109" s="21">
        <v>0.3075</v>
      </c>
      <c r="I109" s="21">
        <v>0.37</v>
      </c>
    </row>
    <row r="110" spans="3:9" ht="15">
      <c r="C110" t="s">
        <v>143</v>
      </c>
      <c r="D110" s="21">
        <f aca="true" t="shared" si="15" ref="D110:I110">D109/2</f>
        <v>0.091</v>
      </c>
      <c r="E110" s="21">
        <f t="shared" si="15"/>
        <v>0.111</v>
      </c>
      <c r="F110" s="21">
        <f t="shared" si="15"/>
        <v>0.133</v>
      </c>
      <c r="G110" s="21">
        <f t="shared" si="15"/>
        <v>0.15375</v>
      </c>
      <c r="H110" s="21">
        <f t="shared" si="15"/>
        <v>0.15375</v>
      </c>
      <c r="I110" s="21">
        <f t="shared" si="15"/>
        <v>0.185</v>
      </c>
    </row>
    <row r="111" spans="3:9" ht="15">
      <c r="C111" t="s">
        <v>128</v>
      </c>
      <c r="D111" s="21">
        <v>0.09445</v>
      </c>
      <c r="E111" s="126">
        <v>0.11025</v>
      </c>
      <c r="F111" s="21">
        <v>0.1416</v>
      </c>
      <c r="G111" s="21">
        <v>0.15625</v>
      </c>
      <c r="H111" s="21">
        <v>0.15625</v>
      </c>
      <c r="I111" s="21">
        <v>0.18875</v>
      </c>
    </row>
    <row r="112" spans="3:9" ht="15">
      <c r="C112" t="s">
        <v>144</v>
      </c>
      <c r="D112" s="21">
        <f aca="true" t="shared" si="16" ref="D112:I112">D111/SQRT(3)</f>
        <v>0.05453073292496016</v>
      </c>
      <c r="E112" s="127">
        <f t="shared" si="16"/>
        <v>0.06365286717815624</v>
      </c>
      <c r="F112" s="21">
        <f t="shared" si="16"/>
        <v>0.08175279811725102</v>
      </c>
      <c r="G112" s="21">
        <f t="shared" si="16"/>
        <v>0.09021097956087903</v>
      </c>
      <c r="H112" s="21">
        <f t="shared" si="16"/>
        <v>0.09021097956087903</v>
      </c>
      <c r="I112" s="21">
        <f t="shared" si="16"/>
        <v>0.10897486330954187</v>
      </c>
    </row>
    <row r="113" spans="3:9" ht="15">
      <c r="C113" t="s">
        <v>129</v>
      </c>
      <c r="D113" s="21">
        <v>0.51</v>
      </c>
      <c r="E113" s="21">
        <v>0.064</v>
      </c>
      <c r="F113" s="21">
        <v>0.077</v>
      </c>
      <c r="G113" s="21">
        <v>0.09</v>
      </c>
      <c r="H113" s="21">
        <v>0.09</v>
      </c>
      <c r="I113" s="21">
        <v>0.12</v>
      </c>
    </row>
    <row r="114" spans="3:9" ht="17.25">
      <c r="C114" t="s">
        <v>132</v>
      </c>
      <c r="D114" s="21">
        <f aca="true" t="shared" si="17" ref="D114:I114">PI()*D104*D104/4</f>
        <v>0.00733657899538692</v>
      </c>
      <c r="E114" s="21">
        <f t="shared" si="17"/>
        <v>0.011094002348896653</v>
      </c>
      <c r="F114" s="21">
        <f t="shared" si="17"/>
        <v>0.01647884923678224</v>
      </c>
      <c r="G114" s="21">
        <f t="shared" si="17"/>
        <v>0.021240152814783322</v>
      </c>
      <c r="H114" s="21">
        <f t="shared" si="17"/>
        <v>0.02292555444158117</v>
      </c>
      <c r="I114" s="21">
        <f t="shared" si="17"/>
        <v>0.03778897906442886</v>
      </c>
    </row>
    <row r="115" spans="3:9" ht="15">
      <c r="C115" t="s">
        <v>130</v>
      </c>
      <c r="D115" s="21">
        <f aca="true" t="shared" si="18" ref="D115:I115">D114*$E$7</f>
        <v>0.9617998282687413</v>
      </c>
      <c r="E115" s="21">
        <f t="shared" si="18"/>
        <v>1.45438487893213</v>
      </c>
      <c r="F115" s="21">
        <f t="shared" si="18"/>
        <v>2.160319458969823</v>
      </c>
      <c r="G115" s="21">
        <f t="shared" si="18"/>
        <v>2.784509693483242</v>
      </c>
      <c r="H115" s="21">
        <f t="shared" si="18"/>
        <v>3.005459947850746</v>
      </c>
      <c r="I115" s="21">
        <f t="shared" si="18"/>
        <v>4.954002893919897</v>
      </c>
    </row>
    <row r="116" spans="3:9" ht="15">
      <c r="C116" t="s">
        <v>136</v>
      </c>
      <c r="D116" s="21">
        <f aca="true" t="shared" si="19" ref="D116:I116">D103/2</f>
        <v>0.5</v>
      </c>
      <c r="E116" s="21">
        <f t="shared" si="19"/>
        <v>0.5</v>
      </c>
      <c r="F116" s="21">
        <f t="shared" si="19"/>
        <v>0.5</v>
      </c>
      <c r="G116" s="21">
        <f t="shared" si="19"/>
        <v>0.5</v>
      </c>
      <c r="H116" s="21">
        <f t="shared" si="19"/>
        <v>0.5</v>
      </c>
      <c r="I116" s="21">
        <f t="shared" si="19"/>
        <v>0.5</v>
      </c>
    </row>
    <row r="117" spans="3:9" ht="17.25">
      <c r="C117" t="s">
        <v>133</v>
      </c>
      <c r="D117" s="21">
        <f aca="true" t="shared" si="20" ref="D117:I117">PI()*D109*D109/4</f>
        <v>0.026015528764377075</v>
      </c>
      <c r="E117" s="21">
        <f t="shared" si="20"/>
        <v>0.03870756308487985</v>
      </c>
      <c r="F117" s="21">
        <f t="shared" si="20"/>
        <v>0.05557163244934986</v>
      </c>
      <c r="G117" s="21">
        <f t="shared" si="20"/>
        <v>0.07426430508774996</v>
      </c>
      <c r="H117" s="21">
        <f t="shared" si="20"/>
        <v>0.07426430508774996</v>
      </c>
      <c r="I117" s="21">
        <f t="shared" si="20"/>
        <v>0.10752100856911068</v>
      </c>
    </row>
    <row r="118" spans="3:9" ht="15">
      <c r="C118" t="s">
        <v>131</v>
      </c>
      <c r="D118" s="21">
        <f aca="true" t="shared" si="21" ref="D118:I118">D117*$E$7</f>
        <v>3.410544766659159</v>
      </c>
      <c r="E118" s="21">
        <f t="shared" si="21"/>
        <v>5.074426043956951</v>
      </c>
      <c r="F118" s="21">
        <f t="shared" si="21"/>
        <v>7.285246513396193</v>
      </c>
      <c r="G118" s="21">
        <f t="shared" si="21"/>
        <v>9.735790471936212</v>
      </c>
      <c r="H118" s="21">
        <f t="shared" si="21"/>
        <v>9.735790471936212</v>
      </c>
      <c r="I118" s="21">
        <f t="shared" si="21"/>
        <v>14.095627899880418</v>
      </c>
    </row>
    <row r="119" spans="3:9" ht="15">
      <c r="C119" t="s">
        <v>137</v>
      </c>
      <c r="D119" s="21">
        <f aca="true" t="shared" si="22" ref="D119:I119">-D108/2</f>
        <v>-0.055</v>
      </c>
      <c r="E119" s="21">
        <f t="shared" si="22"/>
        <v>-0.068</v>
      </c>
      <c r="F119" s="21">
        <f t="shared" si="22"/>
        <v>-0.08075</v>
      </c>
      <c r="G119" s="21">
        <f t="shared" si="22"/>
        <v>-0.09375</v>
      </c>
      <c r="H119" s="21">
        <f t="shared" si="22"/>
        <v>-0.09375</v>
      </c>
      <c r="I119" s="21">
        <f t="shared" si="22"/>
        <v>-0.09375</v>
      </c>
    </row>
    <row r="120" spans="3:9" ht="17.25">
      <c r="C120" t="s">
        <v>135</v>
      </c>
      <c r="D120" s="21"/>
      <c r="E120" s="21"/>
      <c r="F120" s="21"/>
      <c r="G120" s="21"/>
      <c r="I120" s="21"/>
    </row>
    <row r="121" spans="3:9" ht="15">
      <c r="C121" t="s">
        <v>134</v>
      </c>
      <c r="D121" s="21"/>
      <c r="E121" s="21"/>
      <c r="F121" s="21"/>
      <c r="G121" s="21"/>
      <c r="I121" s="21"/>
    </row>
    <row r="122" spans="3:9" ht="15">
      <c r="C122" t="s">
        <v>138</v>
      </c>
      <c r="D122" s="21"/>
      <c r="E122" s="21"/>
      <c r="F122" s="21"/>
      <c r="G122" s="21"/>
      <c r="I122" s="21"/>
    </row>
    <row r="123" spans="3:9" ht="15">
      <c r="C123" t="s">
        <v>139</v>
      </c>
      <c r="D123" s="21">
        <f aca="true" t="shared" si="23" ref="D123:I123">D115+D118+D121</f>
        <v>4.372344594927901</v>
      </c>
      <c r="E123" s="21">
        <f t="shared" si="23"/>
        <v>6.528810922889081</v>
      </c>
      <c r="F123" s="21">
        <f t="shared" si="23"/>
        <v>9.445565972366015</v>
      </c>
      <c r="G123" s="21">
        <f t="shared" si="23"/>
        <v>12.520300165419455</v>
      </c>
      <c r="H123" s="21">
        <f t="shared" si="23"/>
        <v>12.741250419786958</v>
      </c>
      <c r="I123" s="21">
        <f t="shared" si="23"/>
        <v>19.049630793800315</v>
      </c>
    </row>
    <row r="124" spans="3:8" ht="15">
      <c r="C124" t="s">
        <v>140</v>
      </c>
      <c r="D124" s="21"/>
      <c r="E124" s="21"/>
      <c r="H124" s="21"/>
    </row>
    <row r="125" spans="4:8" ht="15">
      <c r="D125" s="21"/>
      <c r="E125" s="21"/>
      <c r="H125" s="21"/>
    </row>
    <row r="126" spans="3:9" ht="15">
      <c r="C126" s="21"/>
      <c r="D126" s="157" t="s">
        <v>158</v>
      </c>
      <c r="E126" s="157"/>
      <c r="F126" s="157"/>
      <c r="G126" s="157"/>
      <c r="H126" s="157"/>
      <c r="I126" s="157"/>
    </row>
    <row r="127" spans="3:9" ht="15">
      <c r="C127" s="21"/>
      <c r="D127" s="123" t="s">
        <v>151</v>
      </c>
      <c r="E127" s="123" t="s">
        <v>152</v>
      </c>
      <c r="F127" s="123"/>
      <c r="G127" s="123"/>
      <c r="H127" s="123" t="s">
        <v>153</v>
      </c>
      <c r="I127" s="123"/>
    </row>
    <row r="128" spans="3:9" ht="15">
      <c r="C128" s="21" t="s">
        <v>160</v>
      </c>
      <c r="D128" s="21">
        <f>2*D129</f>
        <v>0.12</v>
      </c>
      <c r="E128" s="21">
        <f>2*E129</f>
        <v>0.148</v>
      </c>
      <c r="F128" s="21"/>
      <c r="G128" s="21"/>
      <c r="H128" s="21">
        <f>2*H129</f>
        <v>0.2</v>
      </c>
      <c r="I128" s="21"/>
    </row>
    <row r="129" spans="3:9" ht="15">
      <c r="C129" s="21" t="s">
        <v>161</v>
      </c>
      <c r="D129" s="21">
        <v>0.06</v>
      </c>
      <c r="E129" s="21">
        <v>0.074</v>
      </c>
      <c r="F129" s="21"/>
      <c r="G129" s="21"/>
      <c r="H129" s="21">
        <v>0.1</v>
      </c>
      <c r="I129" s="21"/>
    </row>
    <row r="130" spans="3:9" ht="15">
      <c r="C130" s="21" t="s">
        <v>162</v>
      </c>
      <c r="D130" s="21">
        <f>2*D131</f>
        <v>0.209</v>
      </c>
      <c r="E130" s="21">
        <f>2*E131</f>
        <v>0.25</v>
      </c>
      <c r="F130" s="21"/>
      <c r="G130" s="21"/>
      <c r="H130" s="21">
        <f>2*H131</f>
        <v>0.334</v>
      </c>
      <c r="I130" s="21"/>
    </row>
    <row r="131" spans="3:9" ht="15">
      <c r="C131" s="21" t="s">
        <v>150</v>
      </c>
      <c r="D131" s="21">
        <v>0.1045</v>
      </c>
      <c r="E131" s="21">
        <v>0.125</v>
      </c>
      <c r="F131" s="21"/>
      <c r="G131" s="21"/>
      <c r="H131" s="21">
        <v>0.167</v>
      </c>
      <c r="I131" s="21"/>
    </row>
    <row r="132" spans="3:9" ht="15">
      <c r="C132" s="21" t="s">
        <v>159</v>
      </c>
      <c r="D132" s="21">
        <v>0.025</v>
      </c>
      <c r="E132" s="21">
        <v>0.031</v>
      </c>
      <c r="F132" s="21"/>
      <c r="G132" s="21"/>
      <c r="H132" s="21">
        <v>0.047</v>
      </c>
      <c r="I132" s="21"/>
    </row>
    <row r="133" spans="3:9" ht="15">
      <c r="C133" s="21"/>
      <c r="D133" s="21"/>
      <c r="E133" s="21"/>
      <c r="F133" s="21"/>
      <c r="G133" s="21"/>
      <c r="H133" s="21"/>
      <c r="I133" s="21"/>
    </row>
    <row r="134" spans="3:9" ht="15">
      <c r="C134" s="21"/>
      <c r="D134" s="157" t="s">
        <v>157</v>
      </c>
      <c r="E134" s="157"/>
      <c r="F134" s="157"/>
      <c r="G134" s="157"/>
      <c r="H134" s="157"/>
      <c r="I134" s="21"/>
    </row>
    <row r="135" spans="3:9" ht="15">
      <c r="C135" s="21"/>
      <c r="D135" s="123" t="s">
        <v>154</v>
      </c>
      <c r="E135" s="123" t="s">
        <v>155</v>
      </c>
      <c r="F135" s="123"/>
      <c r="G135" s="123"/>
      <c r="H135" s="123" t="s">
        <v>156</v>
      </c>
      <c r="I135" s="123"/>
    </row>
    <row r="136" spans="3:9" ht="15">
      <c r="C136" s="21" t="s">
        <v>160</v>
      </c>
      <c r="D136" s="21">
        <v>0.125</v>
      </c>
      <c r="E136" s="21">
        <v>0.149</v>
      </c>
      <c r="F136" s="21"/>
      <c r="G136" s="21"/>
      <c r="H136" s="21">
        <v>0.203</v>
      </c>
      <c r="I136" s="21"/>
    </row>
    <row r="137" spans="3:9" ht="15">
      <c r="C137" s="21" t="s">
        <v>161</v>
      </c>
      <c r="D137" s="21">
        <f>D136/2</f>
        <v>0.0625</v>
      </c>
      <c r="E137" s="21">
        <f>E136/2</f>
        <v>0.0745</v>
      </c>
      <c r="F137" s="21"/>
      <c r="G137" s="21"/>
      <c r="H137" s="21">
        <f>H136/2</f>
        <v>0.1015</v>
      </c>
      <c r="I137" s="21"/>
    </row>
    <row r="138" spans="3:9" ht="15">
      <c r="C138" s="21" t="s">
        <v>162</v>
      </c>
      <c r="D138" s="21">
        <v>0.312</v>
      </c>
      <c r="E138" s="21">
        <v>0.375</v>
      </c>
      <c r="F138" s="21"/>
      <c r="G138" s="21"/>
      <c r="H138" s="21">
        <v>0.438</v>
      </c>
      <c r="I138" s="21"/>
    </row>
    <row r="139" spans="3:8" ht="15">
      <c r="C139" s="21" t="s">
        <v>150</v>
      </c>
      <c r="D139" s="21">
        <f>D138/2</f>
        <v>0.156</v>
      </c>
      <c r="E139" s="21">
        <f>E138/2</f>
        <v>0.1875</v>
      </c>
      <c r="F139" s="21"/>
      <c r="G139" s="21"/>
      <c r="H139" s="21">
        <v>0.203</v>
      </c>
    </row>
    <row r="140" spans="3:8" ht="15">
      <c r="C140" s="21" t="s">
        <v>159</v>
      </c>
      <c r="D140" s="21">
        <v>0.016</v>
      </c>
      <c r="E140" s="21">
        <v>0.016</v>
      </c>
      <c r="F140" s="21"/>
      <c r="G140" s="21"/>
      <c r="H140" s="21">
        <v>0.024</v>
      </c>
    </row>
    <row r="141" spans="3:8" ht="15">
      <c r="C141" s="21"/>
      <c r="D141" s="21"/>
      <c r="E141" s="21"/>
      <c r="F141" s="21"/>
      <c r="G141" s="21"/>
      <c r="H141" s="21"/>
    </row>
  </sheetData>
  <sheetProtection/>
  <mergeCells count="6">
    <mergeCell ref="N79:R79"/>
    <mergeCell ref="C101:I101"/>
    <mergeCell ref="D126:I126"/>
    <mergeCell ref="D134:H134"/>
    <mergeCell ref="B10:C10"/>
    <mergeCell ref="G69:I69"/>
  </mergeCells>
  <printOptions gridLines="1"/>
  <pageMargins left="0.52" right="0.75" top="1" bottom="1" header="0.5" footer="0.5"/>
  <pageSetup horizontalDpi="600" verticalDpi="600" orientation="portrait" r:id="rId1"/>
  <ignoredErrors>
    <ignoredError sqref="C5:C6 F5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AJ144"/>
  <sheetViews>
    <sheetView zoomScale="85" zoomScaleNormal="85" workbookViewId="0" topLeftCell="A10">
      <pane xSplit="3" ySplit="1" topLeftCell="D50" activePane="bottomRight" state="frozen"/>
      <selection pane="topLeft" activeCell="A10" sqref="A10"/>
      <selection pane="topRight" activeCell="D10" sqref="D10"/>
      <selection pane="bottomLeft" activeCell="A11" sqref="A11"/>
      <selection pane="bottomRight" activeCell="H70" sqref="H70"/>
    </sheetView>
  </sheetViews>
  <sheetFormatPr defaultColWidth="8.88671875" defaultRowHeight="15"/>
  <cols>
    <col min="1" max="1" width="8.99609375" style="0" customWidth="1"/>
    <col min="2" max="2" width="4.99609375" style="0" customWidth="1"/>
    <col min="3" max="3" width="13.77734375" style="0" customWidth="1"/>
    <col min="4" max="4" width="9.21484375" style="0" bestFit="1" customWidth="1"/>
    <col min="7" max="7" width="10.88671875" style="0" customWidth="1"/>
    <col min="8" max="8" width="12.10546875" style="0" customWidth="1"/>
    <col min="9" max="9" width="13.21484375" style="0" customWidth="1"/>
    <col min="10" max="10" width="14.10546875" style="0" customWidth="1"/>
    <col min="11" max="11" width="12.21484375" style="0" customWidth="1"/>
    <col min="12" max="14" width="12.5546875" style="0" customWidth="1"/>
    <col min="15" max="15" width="9.21484375" style="0" customWidth="1"/>
    <col min="16" max="16" width="11.21484375" style="0" customWidth="1"/>
    <col min="17" max="17" width="11.10546875" style="0" customWidth="1"/>
  </cols>
  <sheetData>
    <row r="2" ht="15">
      <c r="A2" s="28" t="s">
        <v>0</v>
      </c>
    </row>
    <row r="3" spans="1:6" ht="17.25">
      <c r="A3" t="s">
        <v>1</v>
      </c>
      <c r="C3" s="47">
        <v>0.0975</v>
      </c>
      <c r="D3" t="s">
        <v>2</v>
      </c>
      <c r="E3" s="20">
        <f>C3*453.59237</f>
        <v>44.225256075000004</v>
      </c>
      <c r="F3" t="s">
        <v>11</v>
      </c>
    </row>
    <row r="4" spans="1:6" ht="17.25">
      <c r="A4" t="s">
        <v>3</v>
      </c>
      <c r="C4" s="47">
        <v>0.097</v>
      </c>
      <c r="D4" t="s">
        <v>2</v>
      </c>
      <c r="E4" s="20">
        <f>C4*453.59237</f>
        <v>43.99845989</v>
      </c>
      <c r="F4" t="s">
        <v>11</v>
      </c>
    </row>
    <row r="5" spans="1:7" ht="17.25">
      <c r="A5" t="s">
        <v>40</v>
      </c>
      <c r="C5" s="48">
        <f>1.4*2.54*2.54*2.54</f>
        <v>22.9418896</v>
      </c>
      <c r="D5" t="s">
        <v>11</v>
      </c>
      <c r="F5" t="s">
        <v>11</v>
      </c>
      <c r="G5" t="s">
        <v>64</v>
      </c>
    </row>
    <row r="6" spans="1:6" ht="17.25">
      <c r="A6" t="s">
        <v>65</v>
      </c>
      <c r="C6" s="48">
        <f>1.54*2.54*2.54*2.54</f>
        <v>25.23607856</v>
      </c>
      <c r="D6" t="s">
        <v>11</v>
      </c>
      <c r="E6" s="22">
        <v>21.693088949639836</v>
      </c>
      <c r="F6" t="s">
        <v>11</v>
      </c>
    </row>
    <row r="7" spans="1:6" ht="17.25">
      <c r="A7" t="s">
        <v>125</v>
      </c>
      <c r="C7" s="48">
        <v>8000</v>
      </c>
      <c r="D7" t="s">
        <v>41</v>
      </c>
      <c r="E7" s="20">
        <v>131.0965</v>
      </c>
      <c r="F7" t="s">
        <v>11</v>
      </c>
    </row>
    <row r="8" spans="1:6" ht="17.25">
      <c r="A8" t="s">
        <v>101</v>
      </c>
      <c r="C8" s="69">
        <v>0.307</v>
      </c>
      <c r="D8" t="s">
        <v>2</v>
      </c>
      <c r="E8" s="20">
        <f>C8*453.59237</f>
        <v>139.25285759</v>
      </c>
      <c r="F8" t="s">
        <v>11</v>
      </c>
    </row>
    <row r="9" ht="15">
      <c r="E9" s="22">
        <v>139.12617336000002</v>
      </c>
    </row>
    <row r="10" spans="1:21" ht="48.75" customHeight="1">
      <c r="A10" s="1" t="s">
        <v>91</v>
      </c>
      <c r="B10" s="158" t="s">
        <v>4</v>
      </c>
      <c r="C10" s="159"/>
      <c r="D10" s="1" t="s">
        <v>90</v>
      </c>
      <c r="E10" s="1" t="s">
        <v>89</v>
      </c>
      <c r="F10" s="1" t="s">
        <v>6</v>
      </c>
      <c r="G10" s="1" t="s">
        <v>95</v>
      </c>
      <c r="H10" s="1" t="s">
        <v>92</v>
      </c>
      <c r="I10" s="1" t="s">
        <v>96</v>
      </c>
      <c r="J10" s="1" t="s">
        <v>97</v>
      </c>
      <c r="K10" s="1" t="s">
        <v>98</v>
      </c>
      <c r="L10" s="1" t="s">
        <v>99</v>
      </c>
      <c r="M10" s="1" t="s">
        <v>104</v>
      </c>
      <c r="N10" s="1" t="s">
        <v>105</v>
      </c>
      <c r="O10" s="1" t="s">
        <v>106</v>
      </c>
      <c r="P10" s="1" t="s">
        <v>93</v>
      </c>
      <c r="Q10" s="1" t="s">
        <v>94</v>
      </c>
      <c r="R10" s="1"/>
      <c r="S10" s="1" t="s">
        <v>5</v>
      </c>
      <c r="T10" s="1" t="s">
        <v>5</v>
      </c>
      <c r="U10" s="1" t="s">
        <v>5</v>
      </c>
    </row>
    <row r="11" spans="1:21" ht="15">
      <c r="A11" s="64">
        <v>0</v>
      </c>
      <c r="B11" s="65">
        <v>0</v>
      </c>
      <c r="C11" s="63" t="s">
        <v>72</v>
      </c>
      <c r="D11" s="11"/>
      <c r="E11" s="11"/>
      <c r="F11" s="11"/>
      <c r="G11" s="11"/>
      <c r="H11" s="11"/>
      <c r="I11" s="130">
        <v>2</v>
      </c>
      <c r="J11" s="130">
        <v>0.751</v>
      </c>
      <c r="K11" s="138">
        <f>(I11-$I$11)*H11</f>
        <v>0</v>
      </c>
      <c r="L11" s="138">
        <f>(J11-$J$11)*H11</f>
        <v>0</v>
      </c>
      <c r="M11" s="138">
        <f>I11-$I$11</f>
        <v>0</v>
      </c>
      <c r="N11" s="138">
        <f>J11-$J$11</f>
        <v>0</v>
      </c>
      <c r="O11" s="139">
        <f>SQRT(M11*M11+N11*N11)</f>
        <v>0</v>
      </c>
      <c r="P11" s="65">
        <f>H11*(D11*D11+E11*E11)/12</f>
        <v>0</v>
      </c>
      <c r="Q11" s="65">
        <f>P11+H11*O11*O11</f>
        <v>0</v>
      </c>
      <c r="R11" s="1"/>
      <c r="S11" s="1"/>
      <c r="T11" s="1"/>
      <c r="U11" s="1"/>
    </row>
    <row r="12" spans="1:21" ht="15">
      <c r="A12" s="61"/>
      <c r="B12" s="1"/>
      <c r="C12" s="2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17" ht="15">
      <c r="A13" s="6">
        <v>1</v>
      </c>
      <c r="B13" s="6">
        <v>0</v>
      </c>
      <c r="C13" s="62" t="s">
        <v>163</v>
      </c>
      <c r="D13" s="4" t="s">
        <v>12</v>
      </c>
      <c r="E13" s="4" t="s">
        <v>12</v>
      </c>
      <c r="F13" s="4" t="s">
        <v>12</v>
      </c>
      <c r="G13" s="116">
        <f>SUM(G14:G19)</f>
        <v>2.2741000000000002</v>
      </c>
      <c r="H13" s="14">
        <f>SUM(H14:H19)</f>
        <v>100.5726548401575</v>
      </c>
      <c r="I13" s="117">
        <f>K13/H13+$I$11</f>
        <v>2.822214104480894</v>
      </c>
      <c r="J13" s="117">
        <f>L13/H13+$J$11</f>
        <v>0.6527805923222373</v>
      </c>
      <c r="K13" s="22">
        <f>SUM(K14:K19)</f>
        <v>82.69225533466611</v>
      </c>
      <c r="L13" s="22">
        <f>SUM(L14:L19)</f>
        <v>-9.878186586980341</v>
      </c>
      <c r="M13" s="22">
        <f aca="true" t="shared" si="0" ref="M13:M19">I13-$I$11</f>
        <v>0.8222141044808939</v>
      </c>
      <c r="N13" s="22">
        <f aca="true" t="shared" si="1" ref="N13:N19">J13-$J$11</f>
        <v>-0.09821940767776272</v>
      </c>
      <c r="O13" s="22">
        <f aca="true" t="shared" si="2" ref="O13:O19">SQRT(M13*M13+N13*N13)</f>
        <v>0.8280598321690824</v>
      </c>
      <c r="P13" s="16">
        <f>SUM(P14:P19)</f>
        <v>24.663566041361296</v>
      </c>
      <c r="Q13" s="60">
        <f>SUM(Q14:Q19)</f>
        <v>189.4867983614165</v>
      </c>
    </row>
    <row r="14" spans="1:17" ht="15">
      <c r="A14" s="7">
        <v>1</v>
      </c>
      <c r="B14" s="7">
        <v>1</v>
      </c>
      <c r="C14" s="5" t="s">
        <v>8</v>
      </c>
      <c r="D14" s="131">
        <v>0.25</v>
      </c>
      <c r="E14" s="131">
        <v>0.69</v>
      </c>
      <c r="F14" s="131">
        <v>4.5</v>
      </c>
      <c r="G14" s="5">
        <f>D14*E14*F14</f>
        <v>0.7762499999999999</v>
      </c>
      <c r="H14" s="5">
        <f aca="true" t="shared" si="3" ref="H14:H19">G14*$E$3</f>
        <v>34.329855028218745</v>
      </c>
      <c r="I14" s="131">
        <v>1.649</v>
      </c>
      <c r="J14" s="131">
        <v>0.877</v>
      </c>
      <c r="K14" s="24">
        <f aca="true" t="shared" si="4" ref="K14:K19">(I14-$I$11)*H14</f>
        <v>-12.049779114904778</v>
      </c>
      <c r="L14" s="24">
        <f aca="true" t="shared" si="5" ref="L14:L19">(J14-$J$11)*H14</f>
        <v>4.325561733555562</v>
      </c>
      <c r="M14" s="24">
        <f t="shared" si="0"/>
        <v>-0.351</v>
      </c>
      <c r="N14" s="24">
        <f t="shared" si="1"/>
        <v>0.126</v>
      </c>
      <c r="O14" s="24">
        <f t="shared" si="2"/>
        <v>0.3729302883918119</v>
      </c>
      <c r="P14">
        <f>H14*(D14*D14+E14*E14)/12</f>
        <v>1.5408383265165513</v>
      </c>
      <c r="Q14" s="21">
        <f aca="true" t="shared" si="6" ref="Q14:Q19">P14+H14*O14*O14</f>
        <v>6.31533157427613</v>
      </c>
    </row>
    <row r="15" spans="1:17" ht="15">
      <c r="A15" s="6">
        <v>1</v>
      </c>
      <c r="B15" s="6">
        <v>2</v>
      </c>
      <c r="C15" t="s">
        <v>9</v>
      </c>
      <c r="D15" s="132">
        <v>0.25</v>
      </c>
      <c r="E15" s="132">
        <v>2.25</v>
      </c>
      <c r="F15" s="132">
        <v>2</v>
      </c>
      <c r="G15">
        <f>D15*E15*F15</f>
        <v>1.125</v>
      </c>
      <c r="H15">
        <f t="shared" si="3"/>
        <v>49.753413084375005</v>
      </c>
      <c r="I15" s="132">
        <v>3.119</v>
      </c>
      <c r="J15" s="132">
        <v>0.877</v>
      </c>
      <c r="K15" s="31">
        <f t="shared" si="4"/>
        <v>55.674069241415644</v>
      </c>
      <c r="L15" s="31">
        <f t="shared" si="5"/>
        <v>6.26893004863125</v>
      </c>
      <c r="M15" s="31">
        <f t="shared" si="0"/>
        <v>1.1190000000000002</v>
      </c>
      <c r="N15" s="31">
        <f t="shared" si="1"/>
        <v>0.126</v>
      </c>
      <c r="O15" s="31">
        <f t="shared" si="2"/>
        <v>1.1260714897376634</v>
      </c>
      <c r="P15">
        <f>H15*(D15*D15+E15*E15)/12</f>
        <v>21.248853504785156</v>
      </c>
      <c r="Q15" s="21">
        <f t="shared" si="6"/>
        <v>84.33802217205681</v>
      </c>
    </row>
    <row r="16" spans="1:17" ht="15">
      <c r="A16" s="6">
        <v>1</v>
      </c>
      <c r="B16" s="6">
        <v>3</v>
      </c>
      <c r="C16" s="43" t="s">
        <v>86</v>
      </c>
      <c r="D16" s="45">
        <v>-0.25</v>
      </c>
      <c r="E16" s="45">
        <v>1</v>
      </c>
      <c r="F16" s="45">
        <v>1</v>
      </c>
      <c r="G16">
        <f>D16*E16*F16</f>
        <v>-0.25</v>
      </c>
      <c r="H16">
        <f t="shared" si="3"/>
        <v>-11.056314018750001</v>
      </c>
      <c r="I16" s="132">
        <v>3.69</v>
      </c>
      <c r="J16" s="132">
        <v>0.877</v>
      </c>
      <c r="K16" s="31">
        <f t="shared" si="4"/>
        <v>-18.6851706916875</v>
      </c>
      <c r="L16" s="31">
        <f t="shared" si="5"/>
        <v>-1.3930955663625002</v>
      </c>
      <c r="M16" s="31">
        <f t="shared" si="0"/>
        <v>1.69</v>
      </c>
      <c r="N16" s="31">
        <f t="shared" si="1"/>
        <v>0.126</v>
      </c>
      <c r="O16" s="31">
        <f t="shared" si="2"/>
        <v>1.6946905322211485</v>
      </c>
      <c r="P16">
        <f>H16*(D16*D16+E16*E16)/12</f>
        <v>-0.9789444704101564</v>
      </c>
      <c r="Q16" s="21">
        <f t="shared" si="6"/>
        <v>-32.73241298072371</v>
      </c>
    </row>
    <row r="17" spans="1:17" ht="15">
      <c r="A17" s="6">
        <v>1</v>
      </c>
      <c r="B17" s="6">
        <v>4</v>
      </c>
      <c r="C17" t="s">
        <v>10</v>
      </c>
      <c r="D17" s="132">
        <v>1.125</v>
      </c>
      <c r="E17" s="132">
        <v>0.25</v>
      </c>
      <c r="F17" s="132">
        <v>2</v>
      </c>
      <c r="G17">
        <f>D17*E17*F17</f>
        <v>0.5625</v>
      </c>
      <c r="H17">
        <f t="shared" si="3"/>
        <v>24.876706542187502</v>
      </c>
      <c r="I17" s="132">
        <v>4.119</v>
      </c>
      <c r="J17" s="132">
        <v>0.1885</v>
      </c>
      <c r="K17" s="31">
        <f t="shared" si="4"/>
        <v>52.71374116289531</v>
      </c>
      <c r="L17" s="31">
        <f t="shared" si="5"/>
        <v>-13.99314742998047</v>
      </c>
      <c r="M17" s="31">
        <f t="shared" si="0"/>
        <v>2.1189999999999998</v>
      </c>
      <c r="N17" s="31">
        <f t="shared" si="1"/>
        <v>-0.5625</v>
      </c>
      <c r="O17" s="31">
        <f t="shared" si="2"/>
        <v>2.1923884806302003</v>
      </c>
      <c r="P17">
        <f>H17*(D17*D17+E17*E17)/12</f>
        <v>2.7532813230285647</v>
      </c>
      <c r="Q17" s="21">
        <f t="shared" si="6"/>
        <v>122.3248442765677</v>
      </c>
    </row>
    <row r="18" spans="1:17" ht="15">
      <c r="A18" s="6">
        <v>1</v>
      </c>
      <c r="B18" s="6">
        <v>5</v>
      </c>
      <c r="C18" t="s">
        <v>84</v>
      </c>
      <c r="D18" s="132">
        <v>0.375</v>
      </c>
      <c r="E18" s="132">
        <v>0.375</v>
      </c>
      <c r="F18" s="132">
        <v>2</v>
      </c>
      <c r="G18">
        <f>D18*E18*F18</f>
        <v>0.28125</v>
      </c>
      <c r="H18">
        <f t="shared" si="3"/>
        <v>12.438353271093751</v>
      </c>
      <c r="I18" s="132">
        <v>3.8065</v>
      </c>
      <c r="J18" s="132">
        <v>0.5645</v>
      </c>
      <c r="K18" s="31">
        <f t="shared" si="4"/>
        <v>22.469885184230865</v>
      </c>
      <c r="L18" s="31">
        <f t="shared" si="5"/>
        <v>-2.3197528850589846</v>
      </c>
      <c r="M18" s="31">
        <f t="shared" si="0"/>
        <v>1.8065000000000002</v>
      </c>
      <c r="N18" s="31">
        <f t="shared" si="1"/>
        <v>-0.1865</v>
      </c>
      <c r="O18" s="31">
        <f t="shared" si="2"/>
        <v>1.8161014564170144</v>
      </c>
      <c r="P18">
        <f>H18*(D18*D18+E18*E18)/12</f>
        <v>0.2915239047912598</v>
      </c>
      <c r="Q18" s="21">
        <f t="shared" si="6"/>
        <v>41.31600540316782</v>
      </c>
    </row>
    <row r="19" spans="1:17" ht="15">
      <c r="A19" s="6">
        <v>1</v>
      </c>
      <c r="B19" s="6" t="s">
        <v>71</v>
      </c>
      <c r="C19" s="43" t="s">
        <v>85</v>
      </c>
      <c r="D19" s="133">
        <v>0.375</v>
      </c>
      <c r="E19" s="133">
        <v>0.375</v>
      </c>
      <c r="F19" s="132">
        <v>2</v>
      </c>
      <c r="G19">
        <f>-F19*0.11045</f>
        <v>-0.2209</v>
      </c>
      <c r="H19">
        <f t="shared" si="3"/>
        <v>-9.769359066967501</v>
      </c>
      <c r="I19" s="46">
        <v>3.7842</v>
      </c>
      <c r="J19" s="46">
        <v>1.0342</v>
      </c>
      <c r="K19" s="31">
        <f t="shared" si="4"/>
        <v>-17.430490447283415</v>
      </c>
      <c r="L19" s="31">
        <f t="shared" si="5"/>
        <v>-2.7666824877651965</v>
      </c>
      <c r="M19" s="31">
        <f t="shared" si="0"/>
        <v>1.7841999999999998</v>
      </c>
      <c r="N19" s="31">
        <f t="shared" si="1"/>
        <v>0.2832</v>
      </c>
      <c r="O19" s="31">
        <f t="shared" si="2"/>
        <v>1.8065358784148184</v>
      </c>
      <c r="P19">
        <f>H19*(0.5-32/(9*PI()*PI()))*D19*E19</f>
        <v>-0.19198654735007656</v>
      </c>
      <c r="Q19" s="21">
        <f t="shared" si="6"/>
        <v>-32.07499208392825</v>
      </c>
    </row>
    <row r="20" spans="1:15" ht="15">
      <c r="A20" s="6"/>
      <c r="B20" s="6"/>
      <c r="D20" s="42"/>
      <c r="E20" s="42"/>
      <c r="F20" s="42"/>
      <c r="I20" s="42"/>
      <c r="J20" s="42"/>
      <c r="K20" s="21"/>
      <c r="L20" s="21"/>
      <c r="M20" s="21"/>
      <c r="N20" s="21"/>
      <c r="O20" s="21"/>
    </row>
    <row r="21" spans="1:17" ht="15">
      <c r="A21" s="10">
        <v>2</v>
      </c>
      <c r="B21" s="10">
        <v>0</v>
      </c>
      <c r="C21" s="63" t="s">
        <v>164</v>
      </c>
      <c r="D21" s="12" t="s">
        <v>12</v>
      </c>
      <c r="E21" s="12" t="s">
        <v>12</v>
      </c>
      <c r="F21" s="12" t="s">
        <v>12</v>
      </c>
      <c r="G21" s="116">
        <f>SUM(G22:G23)</f>
        <v>0.515625</v>
      </c>
      <c r="H21" s="14">
        <f>SUM(H22:H23)</f>
        <v>22.686705880781247</v>
      </c>
      <c r="I21" s="117">
        <f>K21/H21+$I$11</f>
        <v>4.476954545454546</v>
      </c>
      <c r="J21" s="117">
        <f>L21/H21+$J$11</f>
        <v>0.7690454545454546</v>
      </c>
      <c r="K21" s="22">
        <f>SUM(K22:K24)</f>
        <v>56.19393925279148</v>
      </c>
      <c r="L21" s="22">
        <f>SUM(L22:L23)</f>
        <v>0.40939191975773426</v>
      </c>
      <c r="M21" s="22">
        <f>I21-$I$11</f>
        <v>2.4769545454545456</v>
      </c>
      <c r="N21" s="22">
        <f>J21-$J$11</f>
        <v>0.018045454545454587</v>
      </c>
      <c r="O21" s="22">
        <f>SQRT(M21*M21+N21*N21)</f>
        <v>2.4770202782128545</v>
      </c>
      <c r="P21" s="16">
        <f>SUM(P22:P23)</f>
        <v>0.9452794116992187</v>
      </c>
      <c r="Q21" s="60">
        <f>SUM(Q22:Q23)</f>
        <v>141.48278545045497</v>
      </c>
    </row>
    <row r="22" spans="1:17" ht="15">
      <c r="A22" s="6">
        <v>2</v>
      </c>
      <c r="B22" s="6">
        <v>1</v>
      </c>
      <c r="C22" t="s">
        <v>14</v>
      </c>
      <c r="D22" s="132">
        <v>0.75</v>
      </c>
      <c r="E22" s="132">
        <v>0.125</v>
      </c>
      <c r="F22" s="132">
        <v>3</v>
      </c>
      <c r="G22">
        <f>D22*E22*F22</f>
        <v>0.28125</v>
      </c>
      <c r="H22">
        <f>G22*$E$4</f>
        <v>12.3745668440625</v>
      </c>
      <c r="I22" s="132">
        <v>4.3065</v>
      </c>
      <c r="J22" s="132">
        <v>0.627</v>
      </c>
      <c r="K22" s="24">
        <f>(I22-$I$11)*H22</f>
        <v>28.541938425830153</v>
      </c>
      <c r="L22" s="24">
        <f>(J22-$J$11)*H22</f>
        <v>-1.53444628866375</v>
      </c>
      <c r="M22" s="24">
        <f>I22-$I$11</f>
        <v>2.3064999999999998</v>
      </c>
      <c r="N22" s="24">
        <f>J22-$J$11</f>
        <v>-0.124</v>
      </c>
      <c r="O22" s="24">
        <f>SQRT(M22*M22+N22*N22)</f>
        <v>2.309830783845431</v>
      </c>
      <c r="P22">
        <f>H22*(D22*D22+E22*E22)/12</f>
        <v>0.5961705380603027</v>
      </c>
      <c r="Q22" s="21">
        <f>P22+H22*O22*O22</f>
        <v>66.61842285703185</v>
      </c>
    </row>
    <row r="23" spans="1:17" ht="15">
      <c r="A23" s="6">
        <v>2</v>
      </c>
      <c r="B23" s="6">
        <v>2</v>
      </c>
      <c r="C23" t="s">
        <v>15</v>
      </c>
      <c r="D23" s="132">
        <v>0.125</v>
      </c>
      <c r="E23" s="132">
        <v>0.625</v>
      </c>
      <c r="F23" s="132">
        <v>3</v>
      </c>
      <c r="G23">
        <f>D23*E23*F23</f>
        <v>0.234375</v>
      </c>
      <c r="H23">
        <f>G23*$E$4</f>
        <v>10.312139036718749</v>
      </c>
      <c r="I23" s="132">
        <v>4.6815</v>
      </c>
      <c r="J23" s="132">
        <v>0.9395</v>
      </c>
      <c r="K23" s="31">
        <f>(I23-$I$11)*H23</f>
        <v>27.652000826961324</v>
      </c>
      <c r="L23" s="31">
        <f>(J23-$J$11)*H23</f>
        <v>1.9438382084214842</v>
      </c>
      <c r="M23" s="31">
        <f>I23-$I$11</f>
        <v>2.6814999999999998</v>
      </c>
      <c r="N23" s="31">
        <f>J23-$J$11</f>
        <v>0.1885</v>
      </c>
      <c r="O23" s="31">
        <f>SQRT(($I23-$I$11)*($I23-$I$11)+($J23-$J$11)*($J23-$J$11))</f>
        <v>2.6881172779475224</v>
      </c>
      <c r="P23">
        <f>H23*(D23*D23+E23*E23)/12</f>
        <v>0.349108873638916</v>
      </c>
      <c r="Q23" s="21">
        <f>P23+H23*O23*O23</f>
        <v>74.86436259342314</v>
      </c>
    </row>
    <row r="24" spans="1:17" ht="15">
      <c r="A24" s="52"/>
      <c r="B24" s="52"/>
      <c r="C24" s="53"/>
      <c r="D24" s="54"/>
      <c r="E24" s="54"/>
      <c r="F24" s="54"/>
      <c r="G24" s="53"/>
      <c r="H24" s="55"/>
      <c r="I24" s="54"/>
      <c r="J24" s="54"/>
      <c r="K24" s="56"/>
      <c r="L24" s="56"/>
      <c r="M24" s="56"/>
      <c r="N24" s="56"/>
      <c r="O24" s="56"/>
      <c r="P24" s="57"/>
      <c r="Q24" s="57"/>
    </row>
    <row r="25" spans="1:17" ht="15">
      <c r="A25" s="52">
        <v>3</v>
      </c>
      <c r="B25" s="52">
        <v>0</v>
      </c>
      <c r="C25" s="77" t="s">
        <v>116</v>
      </c>
      <c r="D25" s="118" t="s">
        <v>12</v>
      </c>
      <c r="E25" s="118" t="s">
        <v>12</v>
      </c>
      <c r="F25" s="118" t="s">
        <v>12</v>
      </c>
      <c r="G25" s="52" t="s">
        <v>12</v>
      </c>
      <c r="H25" s="108">
        <v>3.7</v>
      </c>
      <c r="I25" s="107">
        <v>4.36</v>
      </c>
      <c r="J25" s="107">
        <v>1.1875</v>
      </c>
      <c r="K25" s="140">
        <f>(I25-$I$11)*H25</f>
        <v>8.732000000000001</v>
      </c>
      <c r="L25" s="140">
        <f>(J25-$J$11)*H25</f>
        <v>1.61505</v>
      </c>
      <c r="M25" s="140">
        <f>I25-$I$11</f>
        <v>2.3600000000000003</v>
      </c>
      <c r="N25" s="140">
        <f>J25-$J$11</f>
        <v>0.4365</v>
      </c>
      <c r="O25" s="140">
        <f>SQRT(($I25-$I$11)*($I25-$I$11)+($J25-$J$11)*($J25-$J$11))</f>
        <v>2.400027551925186</v>
      </c>
      <c r="P25" s="78">
        <v>0</v>
      </c>
      <c r="Q25" s="22">
        <f>P25+H25*O25*O25</f>
        <v>21.312489325000012</v>
      </c>
    </row>
    <row r="26" spans="1:17" ht="15">
      <c r="A26" s="52"/>
      <c r="B26" s="52"/>
      <c r="C26" s="53"/>
      <c r="D26" s="54"/>
      <c r="E26" s="54"/>
      <c r="F26" s="54"/>
      <c r="G26" s="53"/>
      <c r="H26" s="55"/>
      <c r="I26" s="54"/>
      <c r="J26" s="54"/>
      <c r="K26" s="56"/>
      <c r="L26" s="56"/>
      <c r="M26" s="56"/>
      <c r="N26" s="56"/>
      <c r="O26" s="56"/>
      <c r="P26" s="57"/>
      <c r="Q26" s="57"/>
    </row>
    <row r="27" spans="1:17" ht="15">
      <c r="A27" s="109">
        <v>4</v>
      </c>
      <c r="B27" s="109">
        <v>0</v>
      </c>
      <c r="C27" s="110" t="s">
        <v>100</v>
      </c>
      <c r="D27" s="130">
        <v>0.375</v>
      </c>
      <c r="E27" s="130">
        <v>0.25</v>
      </c>
      <c r="F27" s="130">
        <v>2</v>
      </c>
      <c r="G27" s="11">
        <f>D27*E27*F27</f>
        <v>0.1875</v>
      </c>
      <c r="H27" s="16">
        <f>G27*$E$9</f>
        <v>26.086157505000003</v>
      </c>
      <c r="I27" s="130">
        <v>3.857</v>
      </c>
      <c r="J27" s="130">
        <v>-0.1855</v>
      </c>
      <c r="K27" s="155">
        <f>(I27-$I$11)*H27</f>
        <v>48.44199448678501</v>
      </c>
      <c r="L27" s="155">
        <f>(J27-$J$11)*H27</f>
        <v>-24.429686503432503</v>
      </c>
      <c r="M27" s="155">
        <f>I27-$I$11</f>
        <v>1.8570000000000002</v>
      </c>
      <c r="N27" s="155">
        <f>J27-$J$11</f>
        <v>-0.9365</v>
      </c>
      <c r="O27" s="155">
        <f>SQRT(($I27-$I$11)*($I27-$I$11)+($J27-$J$11)*($J27-$J$11))</f>
        <v>2.0797791349083203</v>
      </c>
      <c r="P27" s="156">
        <f>H27*(D27*D27+E27*E27)/12</f>
        <v>0.44156256193359383</v>
      </c>
      <c r="Q27" s="60">
        <f>P27+H27*O27*O27</f>
        <v>113.27674773435791</v>
      </c>
    </row>
    <row r="28" spans="1:17" ht="15">
      <c r="A28" s="52"/>
      <c r="B28" s="52"/>
      <c r="G28" s="30"/>
      <c r="H28" s="74"/>
      <c r="I28" s="73"/>
      <c r="J28" s="73"/>
      <c r="K28" s="75"/>
      <c r="L28" s="31"/>
      <c r="M28" s="31"/>
      <c r="N28" s="31"/>
      <c r="O28" s="31"/>
      <c r="Q28" s="75"/>
    </row>
    <row r="29" spans="1:17" ht="15">
      <c r="A29" s="109">
        <v>5</v>
      </c>
      <c r="B29" s="109">
        <v>0</v>
      </c>
      <c r="C29" s="110" t="s">
        <v>165</v>
      </c>
      <c r="D29" s="49">
        <v>0.25</v>
      </c>
      <c r="E29" s="49">
        <v>0.375</v>
      </c>
      <c r="F29" s="49">
        <v>1</v>
      </c>
      <c r="G29" s="11">
        <f>D29*E29*F29</f>
        <v>0.09375</v>
      </c>
      <c r="H29" s="16">
        <f>G29*$E$9</f>
        <v>13.043078752500001</v>
      </c>
      <c r="I29" s="154">
        <v>1.8065</v>
      </c>
      <c r="J29" s="154">
        <v>0.625</v>
      </c>
      <c r="K29" s="60">
        <f>(I29-$I$11)*H29</f>
        <v>-2.52383573860875</v>
      </c>
      <c r="L29" s="60">
        <f>(J29-$J$11)*H29</f>
        <v>-1.6434279228150002</v>
      </c>
      <c r="M29" s="60">
        <f>I29-$I$11</f>
        <v>-0.1935</v>
      </c>
      <c r="N29" s="60">
        <f>J29-$J$11</f>
        <v>-0.126</v>
      </c>
      <c r="O29" s="60">
        <f>SQRT(($I29-$I$11)*($I29-$I$11)+($J29-$J$11)*($J29-$J$11))</f>
        <v>0.23090744899201499</v>
      </c>
      <c r="P29" s="16">
        <f>H29*(D29*D29+E29*E29)/12</f>
        <v>0.22078128096679692</v>
      </c>
      <c r="Q29" s="60">
        <f>P29+H29*O29*O29</f>
        <v>0.9162154146622802</v>
      </c>
    </row>
    <row r="30" spans="1:17" ht="15">
      <c r="A30" s="52"/>
      <c r="B30" s="52"/>
      <c r="C30" s="70"/>
      <c r="D30" s="73"/>
      <c r="E30" s="73"/>
      <c r="F30" s="73"/>
      <c r="G30" s="30"/>
      <c r="H30" s="74"/>
      <c r="I30" s="73"/>
      <c r="J30" s="73"/>
      <c r="K30" s="75"/>
      <c r="L30" s="75"/>
      <c r="M30" s="75"/>
      <c r="N30" s="75"/>
      <c r="O30" s="75"/>
      <c r="P30" s="30"/>
      <c r="Q30" s="75"/>
    </row>
    <row r="31" spans="1:17" ht="15">
      <c r="A31" s="79">
        <v>7</v>
      </c>
      <c r="B31" s="79">
        <v>0</v>
      </c>
      <c r="C31" s="80" t="s">
        <v>20</v>
      </c>
      <c r="D31" s="134">
        <v>0.125</v>
      </c>
      <c r="E31" s="134">
        <v>0.5</v>
      </c>
      <c r="F31" s="134">
        <v>3</v>
      </c>
      <c r="G31" s="81">
        <f>D31*E31*F31</f>
        <v>0.1875</v>
      </c>
      <c r="H31" s="67">
        <f>G31*$E$4</f>
        <v>8.249711229375</v>
      </c>
      <c r="I31" s="134">
        <v>8.129</v>
      </c>
      <c r="J31" s="134">
        <v>0.9395</v>
      </c>
      <c r="K31" s="140">
        <f>(I31-$I$11)*H31</f>
        <v>50.562480124839375</v>
      </c>
      <c r="L31" s="140">
        <f>(J31-$J$11)*H31</f>
        <v>1.5550705667371876</v>
      </c>
      <c r="M31" s="140">
        <f>I31-$I$11</f>
        <v>6.129</v>
      </c>
      <c r="N31" s="140">
        <f>J31-$J$11</f>
        <v>0.1885</v>
      </c>
      <c r="O31" s="140">
        <f>SQRT(($I31-$I$11)*($I31-$I$11)+($J31-$J$11)*($J31-$J$11))</f>
        <v>6.131898013665915</v>
      </c>
      <c r="P31" s="141">
        <f>H31*(D31*D31+E31*E31)/12</f>
        <v>0.18261079544189454</v>
      </c>
      <c r="Q31" s="82">
        <f>P31+H31*O31*O31</f>
        <v>310.37318228241236</v>
      </c>
    </row>
    <row r="32" spans="1:15" ht="15">
      <c r="A32" s="6"/>
      <c r="B32" s="6"/>
      <c r="D32" s="2"/>
      <c r="E32" s="2"/>
      <c r="F32" s="2"/>
      <c r="H32" s="9"/>
      <c r="I32" s="2"/>
      <c r="J32" s="2"/>
      <c r="K32" s="21"/>
      <c r="L32" s="21"/>
      <c r="M32" s="21"/>
      <c r="N32" s="21"/>
      <c r="O32" s="21"/>
    </row>
    <row r="33" spans="1:17" ht="15">
      <c r="A33" s="10">
        <v>8</v>
      </c>
      <c r="B33" s="10">
        <v>0</v>
      </c>
      <c r="C33" s="63" t="s">
        <v>16</v>
      </c>
      <c r="D33" s="12" t="s">
        <v>12</v>
      </c>
      <c r="E33" s="12" t="s">
        <v>12</v>
      </c>
      <c r="F33" s="12" t="s">
        <v>12</v>
      </c>
      <c r="G33" s="11">
        <f>SUM(G34:G36)</f>
        <v>0.6272</v>
      </c>
      <c r="H33" s="16">
        <f>G33*$E$4</f>
        <v>27.595834043007997</v>
      </c>
      <c r="I33" s="117">
        <f>K33/H33+$I$11</f>
        <v>6.379</v>
      </c>
      <c r="J33" s="117">
        <f>L33/H33+$J$11</f>
        <v>1.080673469387755</v>
      </c>
      <c r="K33" s="22">
        <f>SUM(K34:K36)</f>
        <v>120.84215727433201</v>
      </c>
      <c r="L33" s="22">
        <f>SUM(L34:L36)</f>
        <v>9.097614349607168</v>
      </c>
      <c r="M33" s="22">
        <f>I33-$I$11</f>
        <v>4.379</v>
      </c>
      <c r="N33" s="22">
        <f>J33-$J$11</f>
        <v>0.3296734693877551</v>
      </c>
      <c r="O33" s="22">
        <f>SQRT(M33*M33+N33*N33)</f>
        <v>4.391392216190459</v>
      </c>
      <c r="P33" s="16">
        <f>SUM(P34:P36)</f>
        <v>36.91146486789304</v>
      </c>
      <c r="Q33" s="60">
        <f>SUM(Q34:Q36)</f>
        <v>569.3882987327154</v>
      </c>
    </row>
    <row r="34" spans="1:17" ht="15">
      <c r="A34" s="6">
        <v>8</v>
      </c>
      <c r="B34" s="6">
        <v>1</v>
      </c>
      <c r="C34" t="s">
        <v>17</v>
      </c>
      <c r="D34" s="132">
        <v>0.04</v>
      </c>
      <c r="E34" s="132">
        <v>4</v>
      </c>
      <c r="F34" s="132">
        <v>3</v>
      </c>
      <c r="G34" s="8">
        <f>D34*E34*F34</f>
        <v>0.48</v>
      </c>
      <c r="H34">
        <f>G34*$E$4</f>
        <v>21.1192607472</v>
      </c>
      <c r="I34" s="151">
        <v>6.379</v>
      </c>
      <c r="J34" s="151">
        <v>1.022</v>
      </c>
      <c r="K34" s="24">
        <f>(I34-$I$11)*H34</f>
        <v>92.48124281198878</v>
      </c>
      <c r="L34" s="24">
        <f>(J34-$J$11)*H34</f>
        <v>5.7233196624912</v>
      </c>
      <c r="M34" s="24">
        <f>I34-$I$11</f>
        <v>4.379</v>
      </c>
      <c r="N34" s="24">
        <f>J34-$J$11</f>
        <v>0.271</v>
      </c>
      <c r="O34" s="24">
        <f>SQRT(M34*M34+N34*N34)</f>
        <v>4.387377576639603</v>
      </c>
      <c r="P34">
        <f>H34*(D34*D34+E34*E34)/12</f>
        <v>28.161830231032955</v>
      </c>
      <c r="Q34" s="21">
        <f>P34+H34*O34*O34</f>
        <v>434.68821213326686</v>
      </c>
    </row>
    <row r="35" spans="1:17" ht="15">
      <c r="A35" s="6">
        <v>8</v>
      </c>
      <c r="B35" s="6">
        <v>2</v>
      </c>
      <c r="C35" t="s">
        <v>18</v>
      </c>
      <c r="D35" s="132">
        <v>0.46</v>
      </c>
      <c r="E35" s="132">
        <v>4</v>
      </c>
      <c r="F35" s="132">
        <f>D34</f>
        <v>0.04</v>
      </c>
      <c r="G35" s="8">
        <f>D35*E35*F35</f>
        <v>0.0736</v>
      </c>
      <c r="H35">
        <f>G35*$E$4</f>
        <v>3.238286647904</v>
      </c>
      <c r="I35" s="152">
        <v>6.379</v>
      </c>
      <c r="J35" s="152">
        <v>1.272</v>
      </c>
      <c r="K35" s="31">
        <f>(I35-$I$11)*H35</f>
        <v>14.180457231171614</v>
      </c>
      <c r="L35" s="31">
        <f>(J35-$J$11)*H35</f>
        <v>1.687147343557984</v>
      </c>
      <c r="M35" s="31">
        <f>I35-$I$11</f>
        <v>4.379</v>
      </c>
      <c r="N35" s="31">
        <f>J35-$J$11</f>
        <v>0.521</v>
      </c>
      <c r="O35" s="31">
        <f>SQRT(($I35-$I$11)*($I35-$I$11)+($J35-$J$11)*($J35-$J$11))</f>
        <v>4.409884578988434</v>
      </c>
      <c r="P35">
        <f>H35*(D35*D35+E35*E35)/12</f>
        <v>4.374817318430041</v>
      </c>
      <c r="Q35" s="21">
        <f>P35+H35*O35*O35</f>
        <v>67.35004329972425</v>
      </c>
    </row>
    <row r="36" spans="1:17" ht="15">
      <c r="A36" s="6">
        <v>8</v>
      </c>
      <c r="B36" s="6">
        <v>3</v>
      </c>
      <c r="C36" t="s">
        <v>19</v>
      </c>
      <c r="D36" s="132">
        <v>0.46</v>
      </c>
      <c r="E36" s="132">
        <v>4</v>
      </c>
      <c r="F36" s="132">
        <f>D34</f>
        <v>0.04</v>
      </c>
      <c r="G36" s="8">
        <f>D36*E36*F36</f>
        <v>0.0736</v>
      </c>
      <c r="H36">
        <f>G36*$E$4</f>
        <v>3.238286647904</v>
      </c>
      <c r="I36" s="152">
        <v>6.379</v>
      </c>
      <c r="J36" s="152">
        <v>1.272</v>
      </c>
      <c r="K36" s="31">
        <f>(I36-$I$11)*H36</f>
        <v>14.180457231171614</v>
      </c>
      <c r="L36" s="31">
        <f>(J36-$J$11)*H36</f>
        <v>1.687147343557984</v>
      </c>
      <c r="M36" s="31">
        <f>I36-$I$11</f>
        <v>4.379</v>
      </c>
      <c r="N36" s="31">
        <f>J36-$J$11</f>
        <v>0.521</v>
      </c>
      <c r="O36" s="31">
        <f>SQRT(($I36-$I$11)*($I36-$I$11)+($J36-$J$11)*($J36-$J$11))</f>
        <v>4.409884578988434</v>
      </c>
      <c r="P36">
        <f>H36*(D36*D36+E36*E36)/12</f>
        <v>4.374817318430041</v>
      </c>
      <c r="Q36" s="21">
        <f>P36+H36*O36*O36</f>
        <v>67.35004329972425</v>
      </c>
    </row>
    <row r="37" spans="1:15" ht="15">
      <c r="A37" s="6"/>
      <c r="B37" s="6"/>
      <c r="D37" s="2"/>
      <c r="E37" s="2"/>
      <c r="F37" s="2"/>
      <c r="G37" s="8"/>
      <c r="I37" s="42"/>
      <c r="J37" s="42"/>
      <c r="K37" s="31"/>
      <c r="L37" s="21"/>
      <c r="M37" s="21"/>
      <c r="N37" s="21"/>
      <c r="O37" s="21"/>
    </row>
    <row r="38" spans="1:17" ht="15">
      <c r="A38" s="10">
        <v>9</v>
      </c>
      <c r="B38" s="10">
        <v>0</v>
      </c>
      <c r="C38" s="63" t="s">
        <v>70</v>
      </c>
      <c r="D38" s="12" t="s">
        <v>12</v>
      </c>
      <c r="E38" s="12" t="s">
        <v>12</v>
      </c>
      <c r="F38" s="12" t="s">
        <v>12</v>
      </c>
      <c r="G38" s="13">
        <f>SUM(G39:G41)</f>
        <v>0.6272</v>
      </c>
      <c r="H38" s="16">
        <f>G38*$E$4</f>
        <v>27.595834043007997</v>
      </c>
      <c r="I38" s="153">
        <f>K38/H38+$I$11</f>
        <v>6.379</v>
      </c>
      <c r="J38" s="153">
        <f>L38/H38+$J$11</f>
        <v>0.7983265306122449</v>
      </c>
      <c r="K38" s="60">
        <f>SUM(K39:K41)</f>
        <v>120.84215727433201</v>
      </c>
      <c r="L38" s="22">
        <f>SUM(L39:L41)</f>
        <v>1.3060150846068477</v>
      </c>
      <c r="M38" s="22">
        <f>I38-$I$11</f>
        <v>4.379</v>
      </c>
      <c r="N38" s="22">
        <f>J38-$J$11</f>
        <v>0.0473265306122449</v>
      </c>
      <c r="O38" s="22">
        <f>SQRT(M38*M38+N38*N38)</f>
        <v>4.379255735909903</v>
      </c>
      <c r="P38" s="16">
        <f>SUM(P39:P41)</f>
        <v>36.91146486789304</v>
      </c>
      <c r="Q38" s="60">
        <f>SUM(Q39:Q41)</f>
        <v>566.4508658098102</v>
      </c>
    </row>
    <row r="39" spans="1:17" ht="15">
      <c r="A39" s="6">
        <v>9</v>
      </c>
      <c r="B39" s="6">
        <v>1</v>
      </c>
      <c r="C39" t="s">
        <v>17</v>
      </c>
      <c r="D39" s="132">
        <v>0.04</v>
      </c>
      <c r="E39" s="132">
        <v>4</v>
      </c>
      <c r="F39" s="132">
        <v>3</v>
      </c>
      <c r="G39" s="8">
        <f>D39*E39*F39</f>
        <v>0.48</v>
      </c>
      <c r="H39">
        <f>G39*$E$4</f>
        <v>21.1192607472</v>
      </c>
      <c r="I39" s="136">
        <v>6.379</v>
      </c>
      <c r="J39" s="132">
        <v>0.857</v>
      </c>
      <c r="K39" s="31">
        <f>(I39-$I$11)*H39</f>
        <v>92.48124281198878</v>
      </c>
      <c r="L39" s="24">
        <f>(J39-$J$11)*H39</f>
        <v>2.2386416392031996</v>
      </c>
      <c r="M39" s="24">
        <f>I39-$I$11</f>
        <v>4.379</v>
      </c>
      <c r="N39" s="24">
        <f>J39-$J$11</f>
        <v>0.10599999999999998</v>
      </c>
      <c r="O39" s="24">
        <f>SQRT(M39*M39+N39*N39)</f>
        <v>4.380282753430421</v>
      </c>
      <c r="P39">
        <f>H39*(D39*D39+E39*E39)/12</f>
        <v>28.161830231032955</v>
      </c>
      <c r="Q39" s="21">
        <f>P39+H39*O39*O39</f>
        <v>433.37448851848734</v>
      </c>
    </row>
    <row r="40" spans="1:17" ht="15">
      <c r="A40" s="6">
        <v>9</v>
      </c>
      <c r="B40" s="6">
        <v>2</v>
      </c>
      <c r="C40" t="s">
        <v>18</v>
      </c>
      <c r="D40" s="132">
        <v>0.46</v>
      </c>
      <c r="E40" s="132">
        <v>4</v>
      </c>
      <c r="F40" s="132">
        <f>D39</f>
        <v>0.04</v>
      </c>
      <c r="G40" s="8">
        <f>D40*E40*F40</f>
        <v>0.0736</v>
      </c>
      <c r="H40">
        <f>G40*$E$4</f>
        <v>3.238286647904</v>
      </c>
      <c r="I40" s="136">
        <v>6.379</v>
      </c>
      <c r="J40" s="132">
        <v>0.607</v>
      </c>
      <c r="K40" s="31">
        <f>(I40-$I$11)*H40</f>
        <v>14.180457231171614</v>
      </c>
      <c r="L40" s="31">
        <f>(J40-$J$11)*H40</f>
        <v>-0.466313277298176</v>
      </c>
      <c r="M40" s="31">
        <f>I40-$I$11</f>
        <v>4.379</v>
      </c>
      <c r="N40" s="31">
        <f>J40-$J$11</f>
        <v>-0.14400000000000002</v>
      </c>
      <c r="O40" s="31">
        <f>SQRT(($I40-$I$11)*($I40-$I$11)+($J40-$J$11)*($J40-$J$11))</f>
        <v>4.381367024114733</v>
      </c>
      <c r="P40">
        <f>H40*(D40*D40+E40*E40)/12</f>
        <v>4.374817318430041</v>
      </c>
      <c r="Q40" s="21">
        <f>P40+H40*O40*O40</f>
        <v>66.53818864566146</v>
      </c>
    </row>
    <row r="41" spans="1:17" ht="15">
      <c r="A41" s="6">
        <v>9</v>
      </c>
      <c r="B41" s="6">
        <v>3</v>
      </c>
      <c r="C41" t="s">
        <v>19</v>
      </c>
      <c r="D41" s="132">
        <v>0.46</v>
      </c>
      <c r="E41" s="132">
        <v>4</v>
      </c>
      <c r="F41" s="132">
        <f>D39</f>
        <v>0.04</v>
      </c>
      <c r="G41" s="8">
        <f>D41*E41*F41</f>
        <v>0.0736</v>
      </c>
      <c r="H41">
        <f>G41*$E$4</f>
        <v>3.238286647904</v>
      </c>
      <c r="I41" s="136">
        <v>6.379</v>
      </c>
      <c r="J41" s="132">
        <v>0.607</v>
      </c>
      <c r="K41" s="31">
        <f>(I41-$I$11)*H41</f>
        <v>14.180457231171614</v>
      </c>
      <c r="L41" s="31">
        <f>(J41-$J$11)*H41</f>
        <v>-0.466313277298176</v>
      </c>
      <c r="M41" s="31">
        <f>I41-$I$11</f>
        <v>4.379</v>
      </c>
      <c r="N41" s="31">
        <f>J41-$J$11</f>
        <v>-0.14400000000000002</v>
      </c>
      <c r="O41" s="31">
        <f>SQRT(($I41-$I$11)*($I41-$I$11)+($J41-$J$11)*($J41-$J$11))</f>
        <v>4.381367024114733</v>
      </c>
      <c r="P41">
        <f>H41*(D41*D41+E41*E41)/12</f>
        <v>4.374817318430041</v>
      </c>
      <c r="Q41" s="21">
        <f>P41+H41*O41*O41</f>
        <v>66.53818864566146</v>
      </c>
    </row>
    <row r="42" spans="3:15" ht="15">
      <c r="C42" s="6"/>
      <c r="H42" s="23"/>
      <c r="K42" s="21"/>
      <c r="L42" s="21"/>
      <c r="M42" s="21"/>
      <c r="N42" s="21"/>
      <c r="O42" s="21"/>
    </row>
    <row r="43" spans="1:20" ht="15">
      <c r="A43" s="6">
        <v>10</v>
      </c>
      <c r="B43" s="6">
        <v>0</v>
      </c>
      <c r="C43" s="62" t="s">
        <v>36</v>
      </c>
      <c r="D43" s="12" t="s">
        <v>12</v>
      </c>
      <c r="E43" s="6" t="s">
        <v>82</v>
      </c>
      <c r="F43" s="6" t="s">
        <v>83</v>
      </c>
      <c r="G43">
        <f>SUM(G44:G49)</f>
        <v>1.197734280376286</v>
      </c>
      <c r="H43" s="26">
        <f>SUM(H44:H49)</f>
        <v>55.8</v>
      </c>
      <c r="I43" s="117">
        <f>K43/H43+$I$11</f>
        <v>8.12889247311828</v>
      </c>
      <c r="J43" s="117">
        <f>L43/H43+$J$11</f>
        <v>0.29571202818271425</v>
      </c>
      <c r="K43" s="22">
        <f>SUM(K44:K49)</f>
        <v>341.99219999999997</v>
      </c>
      <c r="L43" s="22">
        <f>SUM(L44:L49)</f>
        <v>-25.405068827404545</v>
      </c>
      <c r="M43" s="22">
        <f aca="true" t="shared" si="7" ref="M43:M49">I43-$I$11</f>
        <v>6.128892473118279</v>
      </c>
      <c r="N43" s="22">
        <f aca="true" t="shared" si="8" ref="N43:N49">J43-$J$11</f>
        <v>-0.45528797181728575</v>
      </c>
      <c r="O43" s="22">
        <f>SQRT(M43*M43+N43*N43)</f>
        <v>6.1457798597352475</v>
      </c>
      <c r="P43" s="16">
        <f>SUM(P44:P49)</f>
        <v>17.701670594060374</v>
      </c>
      <c r="Q43" s="60">
        <f>SUM(Q44:Q49)</f>
        <v>2130.3956066025994</v>
      </c>
      <c r="T43" t="s">
        <v>103</v>
      </c>
    </row>
    <row r="44" spans="1:28" ht="15">
      <c r="A44" s="7">
        <v>10</v>
      </c>
      <c r="B44" s="7">
        <v>1</v>
      </c>
      <c r="C44" s="5" t="s">
        <v>66</v>
      </c>
      <c r="D44" s="135">
        <v>0.2185</v>
      </c>
      <c r="E44" s="135">
        <v>1.6574</v>
      </c>
      <c r="F44" s="135">
        <v>0</v>
      </c>
      <c r="G44" s="5">
        <f>PI()/4*($E44*$E44-$F44*$F44)*$D44</f>
        <v>0.47140696151158745</v>
      </c>
      <c r="H44" s="27">
        <f>G44*$E$6</f>
        <v>10.226273147550309</v>
      </c>
      <c r="I44" s="135">
        <v>8.129</v>
      </c>
      <c r="J44" s="135">
        <v>0.72775</v>
      </c>
      <c r="K44" s="24">
        <f aca="true" t="shared" si="9" ref="K44:K49">(I44-$I$11)*H44</f>
        <v>62.67682812133584</v>
      </c>
      <c r="L44" s="24">
        <f aca="true" t="shared" si="10" ref="L44:L49">(J44-$J$11)*H44</f>
        <v>-0.23776085068054462</v>
      </c>
      <c r="M44" s="24">
        <f t="shared" si="7"/>
        <v>6.129</v>
      </c>
      <c r="N44" s="24">
        <f t="shared" si="8"/>
        <v>-0.023249999999999993</v>
      </c>
      <c r="O44" s="24">
        <f>SQRT(M44*M44+N44*N44)</f>
        <v>6.129044098593189</v>
      </c>
      <c r="P44" s="5">
        <f>H44*(E44*E44/16+D44*D44/3)</f>
        <v>1.918448902133698</v>
      </c>
      <c r="Q44" s="24">
        <f aca="true" t="shared" si="11" ref="Q44:Q49">P44+H44*O44*O44</f>
        <v>386.0702563975794</v>
      </c>
      <c r="T44" s="50">
        <v>0.2185</v>
      </c>
      <c r="U44" s="50">
        <v>1.6574</v>
      </c>
      <c r="V44" s="50">
        <v>0</v>
      </c>
      <c r="W44" s="5">
        <f>PI()/4*($E44*$E44-$F44*$F44)*$D44</f>
        <v>0.47140696151158745</v>
      </c>
      <c r="X44" s="27">
        <f>W44*$E$6</f>
        <v>10.226273147550309</v>
      </c>
      <c r="Y44" s="50">
        <v>8.125</v>
      </c>
      <c r="Z44" s="50">
        <v>1.3507</v>
      </c>
      <c r="AA44" s="24">
        <f>(Y44-$I$11)*X44</f>
        <v>62.635923028745644</v>
      </c>
      <c r="AB44" s="24">
        <f>(Z44-$J$11)*X44</f>
        <v>6.13269600658592</v>
      </c>
    </row>
    <row r="45" spans="1:28" ht="15">
      <c r="A45" s="79">
        <v>10</v>
      </c>
      <c r="B45" s="79">
        <v>2</v>
      </c>
      <c r="C45" s="81" t="s">
        <v>67</v>
      </c>
      <c r="D45" s="137">
        <v>0.2415</v>
      </c>
      <c r="E45" s="137">
        <v>1.6574</v>
      </c>
      <c r="F45" s="137">
        <v>1.257</v>
      </c>
      <c r="G45" s="81">
        <f>PI()/4*($E45*$E45-$F45*$F45)*$D45</f>
        <v>0.22133507571712896</v>
      </c>
      <c r="H45" s="23">
        <f>G45*$E$6</f>
        <v>4.801441485206947</v>
      </c>
      <c r="I45" s="137">
        <v>8.129</v>
      </c>
      <c r="J45" s="137">
        <v>0.5</v>
      </c>
      <c r="K45" s="31">
        <f t="shared" si="9"/>
        <v>29.42803486283338</v>
      </c>
      <c r="L45" s="31">
        <f t="shared" si="10"/>
        <v>-1.2051618127869437</v>
      </c>
      <c r="M45" s="31">
        <f t="shared" si="7"/>
        <v>6.129</v>
      </c>
      <c r="N45" s="31">
        <f t="shared" si="8"/>
        <v>-0.251</v>
      </c>
      <c r="O45" s="31">
        <f>SQRT(($I45-$I$11)*($I45-$I$11)+($J45-$J$11)*($J45-$J$11))</f>
        <v>6.134137429174537</v>
      </c>
      <c r="P45" s="81">
        <f>H45*(E45*E45/8+D45*D45/12)</f>
        <v>1.672015727323434</v>
      </c>
      <c r="Q45" s="31">
        <f t="shared" si="11"/>
        <v>182.3389370166387</v>
      </c>
      <c r="T45" s="51">
        <v>0.1492</v>
      </c>
      <c r="U45" s="51">
        <v>1.6574</v>
      </c>
      <c r="V45" s="51">
        <v>1.2677</v>
      </c>
      <c r="W45">
        <f>PI()/4*($E45*$E45-$F45*$F45)*$D45</f>
        <v>0.22133507571712896</v>
      </c>
      <c r="X45" s="23">
        <f>W45*$E$6</f>
        <v>4.801441485206947</v>
      </c>
      <c r="Y45" s="51">
        <v>8.125</v>
      </c>
      <c r="Z45" s="51">
        <v>1.1669</v>
      </c>
      <c r="AA45" s="31">
        <f>(Y45-$I$11)*X45</f>
        <v>29.40882909689255</v>
      </c>
      <c r="AB45" s="31">
        <f>(Z45-$J$11)*X45</f>
        <v>1.9969195136975695</v>
      </c>
    </row>
    <row r="46" spans="1:28" ht="15">
      <c r="A46" s="79">
        <v>10</v>
      </c>
      <c r="B46" s="79">
        <v>3</v>
      </c>
      <c r="C46" s="81" t="s">
        <v>68</v>
      </c>
      <c r="D46" s="137">
        <v>0.5</v>
      </c>
      <c r="E46" s="137">
        <v>1.3189</v>
      </c>
      <c r="F46" s="137">
        <v>1.257</v>
      </c>
      <c r="G46" s="81">
        <f>PI()/4*($E46*$E46-$F46*$F46)*$D46</f>
        <v>0.06261516564550536</v>
      </c>
      <c r="H46" s="23">
        <f>G46*$E$6</f>
        <v>1.3583163579443802</v>
      </c>
      <c r="I46" s="137">
        <v>8.129</v>
      </c>
      <c r="J46" s="137">
        <v>0.125</v>
      </c>
      <c r="K46" s="31">
        <f t="shared" si="9"/>
        <v>8.325120957841106</v>
      </c>
      <c r="L46" s="31">
        <f t="shared" si="10"/>
        <v>-0.850306040073182</v>
      </c>
      <c r="M46" s="31">
        <f t="shared" si="7"/>
        <v>6.129</v>
      </c>
      <c r="N46" s="31">
        <f t="shared" si="8"/>
        <v>-0.626</v>
      </c>
      <c r="O46" s="31">
        <f>SQRT(($I46-$I$11)*($I46-$I$11)+($J46-$J$11)*($J46-$J$11))</f>
        <v>6.160886056404549</v>
      </c>
      <c r="P46" s="81">
        <f>H46*(E46*E46/8+D46*D46/12)</f>
        <v>0.3236466968248759</v>
      </c>
      <c r="Q46" s="31">
        <f t="shared" si="11"/>
        <v>51.88060462851882</v>
      </c>
      <c r="T46" s="51">
        <v>0.4843</v>
      </c>
      <c r="U46" s="51">
        <v>1.3189</v>
      </c>
      <c r="V46" s="51">
        <v>1.2677</v>
      </c>
      <c r="W46">
        <f>PI()/4*($E46*$E46-$F46*$F46)*$D46</f>
        <v>0.06261516564550536</v>
      </c>
      <c r="X46" s="23">
        <f>W46*$E$6</f>
        <v>1.3583163579443802</v>
      </c>
      <c r="Y46" s="51">
        <v>8.125</v>
      </c>
      <c r="Z46" s="51">
        <v>0.8502</v>
      </c>
      <c r="AA46" s="31">
        <f>(Y46-$I$11)*X46</f>
        <v>8.319687692409328</v>
      </c>
      <c r="AB46" s="31">
        <f>(Z46-$J$11)*X46</f>
        <v>0.13474498270808247</v>
      </c>
    </row>
    <row r="47" spans="1:28" ht="15">
      <c r="A47" s="79">
        <v>10</v>
      </c>
      <c r="B47" s="79">
        <v>4</v>
      </c>
      <c r="C47" s="81" t="s">
        <v>69</v>
      </c>
      <c r="D47" s="137">
        <v>0.051</v>
      </c>
      <c r="E47" s="137">
        <v>1.6574</v>
      </c>
      <c r="F47" s="137">
        <v>1.257</v>
      </c>
      <c r="G47" s="81">
        <f>PI()/4*($E47*$E47-$F47*$F47)*$D47</f>
        <v>0.046741568784983756</v>
      </c>
      <c r="H47" s="23">
        <f>G47*$E$6</f>
        <v>1.0139690092983615</v>
      </c>
      <c r="I47" s="137">
        <v>8.129</v>
      </c>
      <c r="J47" s="137">
        <v>-0.1485</v>
      </c>
      <c r="K47" s="31">
        <f t="shared" si="9"/>
        <v>6.214616057989657</v>
      </c>
      <c r="L47" s="31">
        <f t="shared" si="10"/>
        <v>-0.9120651238638762</v>
      </c>
      <c r="M47" s="31">
        <f t="shared" si="7"/>
        <v>6.129</v>
      </c>
      <c r="N47" s="31">
        <f t="shared" si="8"/>
        <v>-0.8995</v>
      </c>
      <c r="O47" s="31">
        <f>SQRT(($I47-$I$11)*($I47-$I$11)+($J47-$J$11)*($J47-$J$11))</f>
        <v>6.194654247817225</v>
      </c>
      <c r="P47" s="81">
        <f>H47*(E47*E47/8+D47*D47/12)</f>
        <v>0.34838818727836596</v>
      </c>
      <c r="Q47" s="31">
        <f t="shared" si="11"/>
        <v>39.25817258561253</v>
      </c>
      <c r="T47" s="51">
        <v>0.0787</v>
      </c>
      <c r="U47" s="51">
        <v>1.6574</v>
      </c>
      <c r="V47" s="51">
        <v>1.2677</v>
      </c>
      <c r="W47">
        <f>PI()/4*($E47*$E47-$F47*$F47)*$D47</f>
        <v>0.046741568784983756</v>
      </c>
      <c r="X47" s="23">
        <f>W47*$E$6</f>
        <v>1.0139690092983615</v>
      </c>
      <c r="Y47" s="51">
        <v>8.125</v>
      </c>
      <c r="Z47" s="51">
        <v>0.5687</v>
      </c>
      <c r="AA47" s="31">
        <f>(Y47-$I$11)*X47</f>
        <v>6.210560181952465</v>
      </c>
      <c r="AB47" s="31">
        <f>(Z47-$J$11)*X47</f>
        <v>-0.18484655039509132</v>
      </c>
    </row>
    <row r="48" spans="1:28" ht="15">
      <c r="A48" s="79">
        <v>10</v>
      </c>
      <c r="B48" s="79">
        <v>5</v>
      </c>
      <c r="C48" s="81" t="s">
        <v>87</v>
      </c>
      <c r="D48" s="137">
        <v>0.5</v>
      </c>
      <c r="E48" s="137">
        <v>1.6574</v>
      </c>
      <c r="F48" s="137">
        <v>1.3189</v>
      </c>
      <c r="G48" s="81">
        <f>PI()/4*($E48*$E48-$F48*$F48)*$D48</f>
        <v>0.3956355087170805</v>
      </c>
      <c r="H48" s="23">
        <v>36.9</v>
      </c>
      <c r="I48" s="137">
        <v>8.129</v>
      </c>
      <c r="J48" s="137">
        <v>0.125</v>
      </c>
      <c r="K48" s="31">
        <f t="shared" si="9"/>
        <v>226.16009999999997</v>
      </c>
      <c r="L48" s="31">
        <f t="shared" si="10"/>
        <v>-23.0994</v>
      </c>
      <c r="M48" s="31">
        <f t="shared" si="7"/>
        <v>6.129</v>
      </c>
      <c r="N48" s="31">
        <f t="shared" si="8"/>
        <v>-0.626</v>
      </c>
      <c r="O48" s="31">
        <f>SQRT(($I48-$I$11)*($I48-$I$11)+($J48-$J$11)*($J48-$J$11))</f>
        <v>6.160886056404549</v>
      </c>
      <c r="P48" s="81">
        <f>H48*(E48*E48/8+D48*D48/12)</f>
        <v>13.4391710805</v>
      </c>
      <c r="Q48" s="31">
        <f t="shared" si="11"/>
        <v>1414.0346483805</v>
      </c>
      <c r="T48" s="51">
        <v>0.4843</v>
      </c>
      <c r="U48" s="51">
        <v>1.6574</v>
      </c>
      <c r="V48" s="51">
        <v>1.3189</v>
      </c>
      <c r="W48">
        <f>PI()/4*($E48*$E48-$F48*$F48)*$D48</f>
        <v>0.3956355087170805</v>
      </c>
      <c r="X48" s="23">
        <f>AC91</f>
        <v>0</v>
      </c>
      <c r="Y48" s="51">
        <v>8.125</v>
      </c>
      <c r="Z48" s="51">
        <v>0.8502</v>
      </c>
      <c r="AA48" s="31">
        <f>(Y48-$I$11)*X48</f>
        <v>0</v>
      </c>
      <c r="AB48" s="31">
        <f>(Z48-$J$11)*X48</f>
        <v>0</v>
      </c>
    </row>
    <row r="49" spans="1:28" ht="15">
      <c r="A49" s="79">
        <v>10</v>
      </c>
      <c r="B49" s="79">
        <v>6</v>
      </c>
      <c r="C49" s="81" t="s">
        <v>110</v>
      </c>
      <c r="D49" s="145" t="s">
        <v>12</v>
      </c>
      <c r="E49" s="145" t="s">
        <v>12</v>
      </c>
      <c r="F49" s="145" t="s">
        <v>12</v>
      </c>
      <c r="G49" s="146" t="s">
        <v>12</v>
      </c>
      <c r="H49" s="23">
        <v>1.5</v>
      </c>
      <c r="I49" s="106">
        <v>8.125</v>
      </c>
      <c r="J49" s="106">
        <v>1.35075</v>
      </c>
      <c r="K49" s="31">
        <f t="shared" si="9"/>
        <v>9.1875</v>
      </c>
      <c r="L49" s="31">
        <f t="shared" si="10"/>
        <v>0.8996249999999999</v>
      </c>
      <c r="M49" s="31">
        <f t="shared" si="7"/>
        <v>6.125</v>
      </c>
      <c r="N49" s="31">
        <f t="shared" si="8"/>
        <v>0.5997499999999999</v>
      </c>
      <c r="O49" s="31">
        <f>SQRT(($I49-$I$11)*($I49-$I$11)+($J49-$J$11)*($J49-$J$11))</f>
        <v>6.154293222011769</v>
      </c>
      <c r="P49" s="147"/>
      <c r="Q49" s="31">
        <f t="shared" si="11"/>
        <v>56.81298759375</v>
      </c>
      <c r="T49" s="51"/>
      <c r="U49" s="51"/>
      <c r="V49" s="51"/>
      <c r="X49" s="23"/>
      <c r="Y49" s="51"/>
      <c r="Z49" s="51"/>
      <c r="AA49" s="31"/>
      <c r="AB49" s="31"/>
    </row>
    <row r="50" spans="1:28" ht="15">
      <c r="A50" s="146"/>
      <c r="B50" s="146"/>
      <c r="C50" s="74"/>
      <c r="D50" s="145"/>
      <c r="E50" s="145"/>
      <c r="F50" s="145"/>
      <c r="G50" s="146"/>
      <c r="H50" s="23"/>
      <c r="I50" s="124"/>
      <c r="J50" s="124"/>
      <c r="K50" s="75"/>
      <c r="L50" s="75"/>
      <c r="M50" s="75"/>
      <c r="N50" s="75"/>
      <c r="O50" s="75"/>
      <c r="P50" s="74"/>
      <c r="Q50" s="75"/>
      <c r="T50" s="51"/>
      <c r="U50" s="51"/>
      <c r="V50" s="51"/>
      <c r="X50" s="23"/>
      <c r="Y50" s="51"/>
      <c r="Z50" s="51"/>
      <c r="AA50" s="31"/>
      <c r="AB50" s="31"/>
    </row>
    <row r="51" spans="1:36" ht="18" thickBot="1">
      <c r="A51" s="109">
        <v>6</v>
      </c>
      <c r="B51" s="109">
        <v>0</v>
      </c>
      <c r="C51" s="110" t="s">
        <v>102</v>
      </c>
      <c r="D51" s="148">
        <v>0.875</v>
      </c>
      <c r="E51" s="148">
        <v>0.59236</v>
      </c>
      <c r="F51" s="148">
        <v>0.513033</v>
      </c>
      <c r="G51" s="149">
        <f>D51*E51*F51</f>
        <v>0.26591269939499995</v>
      </c>
      <c r="H51" s="150">
        <v>14.07</v>
      </c>
      <c r="I51" s="130">
        <v>4.1915</v>
      </c>
      <c r="J51" s="130">
        <v>1.5131</v>
      </c>
      <c r="K51" s="143">
        <f>(I51-$I$11)*H51</f>
        <v>30.834404999999993</v>
      </c>
      <c r="L51" s="143">
        <f>(J51-$J$11)*H51</f>
        <v>10.722746999999998</v>
      </c>
      <c r="M51" s="143">
        <f>I51-$I$11</f>
        <v>2.1914999999999996</v>
      </c>
      <c r="N51" s="143">
        <f>J51-$J$11</f>
        <v>0.7620999999999999</v>
      </c>
      <c r="O51" s="143">
        <f>SQRT(($I51-$I$11)*($I51-$I$11)+($J51-$J$11)*($J51-$J$11))</f>
        <v>2.320230303224229</v>
      </c>
      <c r="P51" s="144">
        <v>0</v>
      </c>
      <c r="Q51" s="60">
        <f>P51+H51*O51*O51</f>
        <v>75.74540404619997</v>
      </c>
      <c r="R51" t="s">
        <v>169</v>
      </c>
      <c r="S51" s="30"/>
      <c r="T51" s="119"/>
      <c r="U51" s="119"/>
      <c r="V51" s="119"/>
      <c r="W51" s="30"/>
      <c r="X51" s="23"/>
      <c r="Y51" s="119"/>
      <c r="Z51" s="119"/>
      <c r="AA51" s="75"/>
      <c r="AB51" s="75"/>
      <c r="AC51" s="30"/>
      <c r="AD51" s="30"/>
      <c r="AE51" s="30"/>
      <c r="AF51" s="30"/>
      <c r="AG51" s="30"/>
      <c r="AH51" s="30"/>
      <c r="AI51" s="30"/>
      <c r="AJ51" s="30"/>
    </row>
    <row r="52" spans="11:36" ht="18" thickTop="1">
      <c r="K52" s="39">
        <f>K13+K21+K25+K27+K29+K31+K33+K38+K43</f>
        <v>827.7753480091372</v>
      </c>
      <c r="L52" s="39">
        <f>L13+L21+L25+L27+L29+L31+L33+L38+L43</f>
        <v>-47.37322791992345</v>
      </c>
      <c r="M52" s="39"/>
      <c r="N52" s="39"/>
      <c r="O52" s="40" t="s">
        <v>79</v>
      </c>
      <c r="P52" s="41" t="s">
        <v>55</v>
      </c>
      <c r="Q52" s="39">
        <f>Q13+Q21+Q25+Q27+Q29+Q31+Q33+Q38+Q43+Q51</f>
        <v>4118.828393759629</v>
      </c>
      <c r="R52" t="s">
        <v>169</v>
      </c>
      <c r="S52" s="30"/>
      <c r="T52" s="119"/>
      <c r="U52" s="119"/>
      <c r="V52" s="119"/>
      <c r="W52" s="30"/>
      <c r="X52" s="23"/>
      <c r="Y52" s="119"/>
      <c r="Z52" s="119"/>
      <c r="AA52" s="75"/>
      <c r="AB52" s="75"/>
      <c r="AC52" s="30"/>
      <c r="AD52" s="30"/>
      <c r="AE52" s="30"/>
      <c r="AF52" s="30"/>
      <c r="AG52" s="30"/>
      <c r="AH52" s="30"/>
      <c r="AI52" s="30"/>
      <c r="AJ52" s="30"/>
    </row>
    <row r="53" spans="1:20" ht="17.25">
      <c r="A53" s="6"/>
      <c r="B53" s="6"/>
      <c r="D53" s="21"/>
      <c r="E53" s="21"/>
      <c r="F53" s="123" t="s">
        <v>118</v>
      </c>
      <c r="H53" s="23"/>
      <c r="I53" s="21"/>
      <c r="J53" s="21"/>
      <c r="K53" s="21"/>
      <c r="L53" s="21"/>
      <c r="M53" s="21"/>
      <c r="N53" s="21"/>
      <c r="O53" s="21"/>
      <c r="Q53" s="21">
        <f>Q52-Q51</f>
        <v>4043.082989713429</v>
      </c>
      <c r="R53" t="s">
        <v>169</v>
      </c>
      <c r="S53">
        <f>Q53*2.54*2.54/1000</f>
        <v>26.08435421643516</v>
      </c>
      <c r="T53" t="s">
        <v>170</v>
      </c>
    </row>
    <row r="54" spans="2:17" ht="15">
      <c r="B54" s="6"/>
      <c r="C54" s="62" t="s">
        <v>7</v>
      </c>
      <c r="D54" s="83" t="s">
        <v>7</v>
      </c>
      <c r="E54" s="21"/>
      <c r="F54" s="2">
        <v>99.7</v>
      </c>
      <c r="G54" s="21">
        <f>SUM(G14:G19)</f>
        <v>2.2741000000000002</v>
      </c>
      <c r="H54" s="21">
        <f>H13</f>
        <v>100.5726548401575</v>
      </c>
      <c r="I54" s="3">
        <f aca="true" t="shared" si="12" ref="I54:I62">H54-F54</f>
        <v>0.8726548401574945</v>
      </c>
      <c r="J54" s="21"/>
      <c r="K54" s="21"/>
      <c r="L54" s="21"/>
      <c r="M54" s="21"/>
      <c r="N54" s="21"/>
      <c r="O54" s="21"/>
      <c r="Q54" s="21"/>
    </row>
    <row r="55" spans="2:17" ht="15">
      <c r="B55" s="6"/>
      <c r="D55" s="87" t="s">
        <v>108</v>
      </c>
      <c r="E55" s="21"/>
      <c r="F55" s="2">
        <f>8.1*2+2.867</f>
        <v>19.067</v>
      </c>
      <c r="G55" s="21">
        <f>SUM(G27)</f>
        <v>0.1875</v>
      </c>
      <c r="H55" s="21">
        <f>H29</f>
        <v>13.043078752500001</v>
      </c>
      <c r="I55" s="3">
        <f t="shared" si="12"/>
        <v>-6.023921247499999</v>
      </c>
      <c r="J55" s="21"/>
      <c r="K55" s="21"/>
      <c r="L55" s="21"/>
      <c r="M55" s="21"/>
      <c r="N55" s="21"/>
      <c r="O55" s="21"/>
      <c r="Q55" s="21"/>
    </row>
    <row r="56" spans="2:17" ht="15">
      <c r="B56" s="6"/>
      <c r="D56" s="87" t="s">
        <v>100</v>
      </c>
      <c r="E56" s="21"/>
      <c r="F56" s="91">
        <f>16.8+1.433</f>
        <v>18.233</v>
      </c>
      <c r="G56" s="21">
        <f>SUM(G27)</f>
        <v>0.1875</v>
      </c>
      <c r="H56" s="21">
        <f>H27</f>
        <v>26.086157505000003</v>
      </c>
      <c r="I56" s="3">
        <f t="shared" si="12"/>
        <v>7.853157505000002</v>
      </c>
      <c r="J56" s="21"/>
      <c r="K56" s="21"/>
      <c r="L56" s="21"/>
      <c r="M56" s="21"/>
      <c r="N56" s="21"/>
      <c r="O56" s="21"/>
      <c r="Q56" s="21"/>
    </row>
    <row r="57" spans="2:17" ht="15">
      <c r="B57" s="6"/>
      <c r="D57" s="83" t="s">
        <v>13</v>
      </c>
      <c r="E57" s="21"/>
      <c r="F57" s="92">
        <f>22.2</f>
        <v>22.2</v>
      </c>
      <c r="G57" s="21">
        <f>SUM(G22:G23)</f>
        <v>0.515625</v>
      </c>
      <c r="H57" s="21">
        <f>H21</f>
        <v>22.686705880781247</v>
      </c>
      <c r="I57" s="3">
        <f t="shared" si="12"/>
        <v>0.48670588078124766</v>
      </c>
      <c r="J57" s="21"/>
      <c r="K57" s="21"/>
      <c r="L57" s="21"/>
      <c r="M57" s="21"/>
      <c r="N57" s="21"/>
      <c r="O57" s="21"/>
      <c r="Q57" s="21"/>
    </row>
    <row r="58" spans="1:17" ht="15">
      <c r="A58" s="21">
        <f>SUM(H57:H60)</f>
        <v>86.12808519617225</v>
      </c>
      <c r="B58" s="6"/>
      <c r="D58" s="83" t="s">
        <v>16</v>
      </c>
      <c r="E58" s="21"/>
      <c r="F58" s="93">
        <f>54.8/2</f>
        <v>27.4</v>
      </c>
      <c r="G58" s="21">
        <f>SUM(G34:G36)</f>
        <v>0.6272</v>
      </c>
      <c r="H58" s="21">
        <f>H33</f>
        <v>27.595834043007997</v>
      </c>
      <c r="I58" s="3">
        <f t="shared" si="12"/>
        <v>0.19583404300799856</v>
      </c>
      <c r="J58" s="21"/>
      <c r="K58" s="21"/>
      <c r="L58" s="21"/>
      <c r="M58" s="21"/>
      <c r="N58" s="21"/>
      <c r="O58" s="21"/>
      <c r="Q58" s="21"/>
    </row>
    <row r="59" spans="2:17" ht="15">
      <c r="B59" s="6"/>
      <c r="D59" s="83" t="s">
        <v>20</v>
      </c>
      <c r="E59" s="21"/>
      <c r="F59" s="92">
        <v>8.1</v>
      </c>
      <c r="G59" s="21">
        <f>SUM(G31)</f>
        <v>0.1875</v>
      </c>
      <c r="H59" s="21">
        <f>H31</f>
        <v>8.249711229375</v>
      </c>
      <c r="I59" s="3">
        <f t="shared" si="12"/>
        <v>0.1497112293750007</v>
      </c>
      <c r="J59" s="21"/>
      <c r="K59" s="21"/>
      <c r="L59" s="21"/>
      <c r="M59" s="21"/>
      <c r="N59" s="21"/>
      <c r="O59" s="21"/>
      <c r="Q59" s="21"/>
    </row>
    <row r="60" spans="2:17" ht="15">
      <c r="B60" s="6"/>
      <c r="D60" s="83" t="s">
        <v>70</v>
      </c>
      <c r="E60" s="21"/>
      <c r="F60" s="93">
        <f>54.8/2</f>
        <v>27.4</v>
      </c>
      <c r="G60" s="21">
        <f>SUM(G39:G41)</f>
        <v>0.6272</v>
      </c>
      <c r="H60" s="21">
        <f>SUM(H39:H41)</f>
        <v>27.595834043008</v>
      </c>
      <c r="I60" s="3">
        <f t="shared" si="12"/>
        <v>0.1958340430080021</v>
      </c>
      <c r="J60" s="21"/>
      <c r="K60" s="21"/>
      <c r="L60" s="21"/>
      <c r="M60" s="21"/>
      <c r="N60" s="21"/>
      <c r="O60" s="21"/>
      <c r="Q60" s="21"/>
    </row>
    <row r="61" spans="2:17" ht="15">
      <c r="B61" s="6"/>
      <c r="D61" s="83" t="s">
        <v>117</v>
      </c>
      <c r="E61" s="21"/>
      <c r="F61" s="42">
        <f>H25</f>
        <v>3.7</v>
      </c>
      <c r="G61" s="52" t="s">
        <v>12</v>
      </c>
      <c r="H61" s="21">
        <v>3.7</v>
      </c>
      <c r="I61" s="3">
        <f t="shared" si="12"/>
        <v>0</v>
      </c>
      <c r="J61" s="21"/>
      <c r="K61" s="21"/>
      <c r="L61" s="21"/>
      <c r="M61" s="21"/>
      <c r="N61" s="21"/>
      <c r="O61" s="21"/>
      <c r="Q61" s="21"/>
    </row>
    <row r="62" spans="2:17" ht="15.75" thickBot="1">
      <c r="B62" s="6"/>
      <c r="D62" s="83" t="s">
        <v>119</v>
      </c>
      <c r="E62" s="21"/>
      <c r="F62" s="2">
        <v>55.8</v>
      </c>
      <c r="G62" s="21">
        <f>SUM(G44:G49)</f>
        <v>1.197734280376286</v>
      </c>
      <c r="H62" s="21">
        <f>H43</f>
        <v>55.8</v>
      </c>
      <c r="I62" s="3">
        <f t="shared" si="12"/>
        <v>0</v>
      </c>
      <c r="J62" s="21"/>
      <c r="K62" s="21"/>
      <c r="L62" s="21"/>
      <c r="M62" s="21"/>
      <c r="N62" s="21"/>
      <c r="O62" s="21"/>
      <c r="Q62" s="21"/>
    </row>
    <row r="63" spans="2:17" ht="15">
      <c r="B63" s="6"/>
      <c r="D63" s="88" t="s">
        <v>107</v>
      </c>
      <c r="F63" s="94">
        <f>SUM(F54:F62)</f>
        <v>281.59999999999997</v>
      </c>
      <c r="G63" s="89">
        <f>SUM(G54:G62)</f>
        <v>5.8043592803762865</v>
      </c>
      <c r="H63" s="89">
        <f>SUM(H54:H62)</f>
        <v>285.3299762938297</v>
      </c>
      <c r="I63" s="142">
        <f>SUM(I54:I62)</f>
        <v>3.729976293829747</v>
      </c>
      <c r="J63" s="21"/>
      <c r="K63" s="21"/>
      <c r="L63" s="21"/>
      <c r="M63" s="21"/>
      <c r="N63" s="21"/>
      <c r="O63" s="21"/>
      <c r="Q63" s="21"/>
    </row>
    <row r="64" spans="1:17" ht="15">
      <c r="A64" s="84"/>
      <c r="B64" s="6"/>
      <c r="D64" s="87" t="s">
        <v>102</v>
      </c>
      <c r="E64" s="21"/>
      <c r="F64" s="21"/>
      <c r="G64" s="21">
        <f>SUM(G51)</f>
        <v>0.26591269939499995</v>
      </c>
      <c r="H64" s="21">
        <f>H51</f>
        <v>14.07</v>
      </c>
      <c r="I64" s="21"/>
      <c r="J64" s="21"/>
      <c r="K64" s="21"/>
      <c r="L64" s="21"/>
      <c r="M64" s="21"/>
      <c r="N64" s="21"/>
      <c r="O64" s="21"/>
      <c r="Q64" s="21"/>
    </row>
    <row r="65" spans="1:17" ht="15">
      <c r="A65" s="84"/>
      <c r="B65" s="6"/>
      <c r="D65" s="88" t="s">
        <v>107</v>
      </c>
      <c r="E65" s="21"/>
      <c r="F65" s="21"/>
      <c r="G65" s="21">
        <f>G63+G64</f>
        <v>6.070271979771286</v>
      </c>
      <c r="H65" s="21">
        <f>H63+H64</f>
        <v>299.3999762938297</v>
      </c>
      <c r="I65" s="21"/>
      <c r="J65" s="21"/>
      <c r="K65" s="21"/>
      <c r="L65" s="21"/>
      <c r="M65" s="21"/>
      <c r="N65" s="21"/>
      <c r="O65" s="21"/>
      <c r="Q65" s="21"/>
    </row>
    <row r="66" spans="1:17" ht="15" thickBot="1">
      <c r="A66" s="85"/>
      <c r="B66" s="6"/>
      <c r="I66" s="21"/>
      <c r="J66" s="21"/>
      <c r="K66" s="21"/>
      <c r="L66" s="21"/>
      <c r="M66" s="21"/>
      <c r="N66" s="21"/>
      <c r="O66" s="21"/>
      <c r="Q66" s="21"/>
    </row>
    <row r="67" spans="2:10" ht="15" thickBot="1">
      <c r="B67" s="6"/>
      <c r="E67" s="2">
        <f>SUM(F57:F60)</f>
        <v>85.1</v>
      </c>
      <c r="G67" s="160" t="s">
        <v>88</v>
      </c>
      <c r="H67" s="161"/>
      <c r="I67" s="162"/>
      <c r="J67" s="21"/>
    </row>
    <row r="68" spans="1:17" ht="18">
      <c r="A68" s="84"/>
      <c r="B68" s="6"/>
      <c r="D68" s="21"/>
      <c r="G68" s="32" t="s">
        <v>168</v>
      </c>
      <c r="H68" s="71">
        <f>H13+H21+H27+H29+H31+H33+H38+H43+H51</f>
        <v>295.69997629382976</v>
      </c>
      <c r="I68" s="35" t="s">
        <v>27</v>
      </c>
      <c r="J68" s="29"/>
      <c r="K68" s="29"/>
      <c r="L68" s="29"/>
      <c r="M68" s="29"/>
      <c r="N68" s="29"/>
      <c r="O68" s="29"/>
      <c r="P68" s="30"/>
      <c r="Q68" s="29"/>
    </row>
    <row r="69" spans="1:17" ht="15">
      <c r="A69" s="85"/>
      <c r="B69" s="6"/>
      <c r="G69" s="33"/>
      <c r="H69" s="26"/>
      <c r="I69" s="90"/>
      <c r="J69" s="29"/>
      <c r="K69" s="29"/>
      <c r="L69" s="29"/>
      <c r="M69" s="29"/>
      <c r="N69" s="29"/>
      <c r="O69" s="29"/>
      <c r="P69" s="30"/>
      <c r="Q69" s="29"/>
    </row>
    <row r="70" spans="1:15" ht="15">
      <c r="A70" s="84"/>
      <c r="B70" s="6"/>
      <c r="G70" s="33" t="s">
        <v>77</v>
      </c>
      <c r="H70" s="66">
        <f>SQRT(Q52/(H68))</f>
        <v>3.7321681654638543</v>
      </c>
      <c r="I70" s="36" t="s">
        <v>76</v>
      </c>
      <c r="J70" s="21"/>
      <c r="K70" s="21"/>
      <c r="L70" s="21"/>
      <c r="M70" s="21"/>
      <c r="N70" s="21"/>
      <c r="O70" s="21"/>
    </row>
    <row r="71" spans="1:15" ht="15">
      <c r="A71" s="84"/>
      <c r="B71" s="6"/>
      <c r="G71" s="33" t="s">
        <v>74</v>
      </c>
      <c r="H71" s="66">
        <f>K52/H68</f>
        <v>2.799375767235765</v>
      </c>
      <c r="I71" s="36" t="s">
        <v>76</v>
      </c>
      <c r="J71" s="21"/>
      <c r="K71" s="21"/>
      <c r="L71" s="21"/>
      <c r="M71" s="21"/>
      <c r="N71" s="21"/>
      <c r="O71" s="21"/>
    </row>
    <row r="72" spans="1:15" ht="15">
      <c r="A72" s="84"/>
      <c r="B72" s="6"/>
      <c r="G72" s="33" t="s">
        <v>75</v>
      </c>
      <c r="H72" s="66">
        <f>L52/H68</f>
        <v>-0.16020707378363075</v>
      </c>
      <c r="I72" s="37" t="s">
        <v>76</v>
      </c>
      <c r="J72" s="21"/>
      <c r="K72" s="21"/>
      <c r="L72" s="21"/>
      <c r="M72" s="21"/>
      <c r="N72" s="21"/>
      <c r="O72" s="21"/>
    </row>
    <row r="73" spans="1:15" ht="15">
      <c r="A73" s="86"/>
      <c r="B73" s="6"/>
      <c r="G73" s="33" t="s">
        <v>78</v>
      </c>
      <c r="H73" s="66">
        <f>SQRT(H71*H71+H72*H72)</f>
        <v>2.803956310764692</v>
      </c>
      <c r="I73" s="37" t="s">
        <v>76</v>
      </c>
      <c r="J73" s="21"/>
      <c r="K73" s="21"/>
      <c r="L73" s="21"/>
      <c r="M73" s="21"/>
      <c r="N73" s="21"/>
      <c r="O73" s="21"/>
    </row>
    <row r="74" spans="1:15" ht="18">
      <c r="A74" s="84"/>
      <c r="B74" s="6"/>
      <c r="G74" s="33" t="s">
        <v>80</v>
      </c>
      <c r="H74" s="66">
        <f>H71+I11</f>
        <v>4.799375767235765</v>
      </c>
      <c r="I74" s="37" t="s">
        <v>76</v>
      </c>
      <c r="J74" s="21"/>
      <c r="K74" s="21"/>
      <c r="L74" s="21"/>
      <c r="M74" s="21"/>
      <c r="N74" s="21"/>
      <c r="O74" s="21"/>
    </row>
    <row r="75" spans="1:15" ht="18">
      <c r="A75" s="87"/>
      <c r="B75" s="6"/>
      <c r="G75" s="33" t="s">
        <v>81</v>
      </c>
      <c r="H75" s="66">
        <f>H72+J11</f>
        <v>0.5907929262163693</v>
      </c>
      <c r="I75" s="37" t="s">
        <v>76</v>
      </c>
      <c r="J75" s="21"/>
      <c r="K75" s="21"/>
      <c r="L75" s="21"/>
      <c r="M75" s="21"/>
      <c r="N75" s="21"/>
      <c r="O75" s="21"/>
    </row>
    <row r="76" spans="1:15" ht="15.75" thickBot="1">
      <c r="A76" s="87"/>
      <c r="B76" s="6"/>
      <c r="G76" s="34" t="s">
        <v>73</v>
      </c>
      <c r="H76" s="68">
        <f>Q52/(H73*H73)</f>
        <v>523.879269173352</v>
      </c>
      <c r="I76" s="38" t="s">
        <v>27</v>
      </c>
      <c r="J76" s="21"/>
      <c r="K76" s="21"/>
      <c r="L76" s="21"/>
      <c r="M76" s="21"/>
      <c r="N76" s="21"/>
      <c r="O76" s="21"/>
    </row>
    <row r="77" spans="1:13" ht="18">
      <c r="A77" s="86"/>
      <c r="G77" s="32" t="s">
        <v>166</v>
      </c>
      <c r="H77" s="94">
        <f>(H68)*H71/M43</f>
        <v>135.0611634385517</v>
      </c>
      <c r="I77" s="35"/>
      <c r="J77" s="21"/>
      <c r="K77" s="21"/>
      <c r="L77" s="21"/>
      <c r="M77" s="21"/>
    </row>
    <row r="78" spans="1:13" ht="18">
      <c r="A78" s="86"/>
      <c r="G78" s="33" t="s">
        <v>167</v>
      </c>
      <c r="H78" s="42">
        <f>H68*H70*H70/H73/H73</f>
        <v>523.8792691733519</v>
      </c>
      <c r="I78" s="37"/>
      <c r="J78" s="21"/>
      <c r="K78" s="21"/>
      <c r="L78" s="21"/>
      <c r="M78" s="21"/>
    </row>
    <row r="79" spans="1:13" ht="15">
      <c r="A79" s="86"/>
      <c r="G79" s="33"/>
      <c r="H79" s="129">
        <f>M43*H71/H70/H70</f>
        <v>1.2317449562920884</v>
      </c>
      <c r="I79" s="37"/>
      <c r="J79" s="21"/>
      <c r="K79" s="21"/>
      <c r="L79" s="21"/>
      <c r="M79" s="21"/>
    </row>
    <row r="80" spans="1:13" ht="15" thickBot="1">
      <c r="A80" s="86"/>
      <c r="C80" s="6"/>
      <c r="G80" s="34"/>
      <c r="H80" s="100"/>
      <c r="I80" s="38"/>
      <c r="J80" s="21"/>
      <c r="K80" s="21"/>
      <c r="L80" s="21"/>
      <c r="M80" s="21"/>
    </row>
    <row r="81" spans="1:13" ht="15">
      <c r="A81" s="86"/>
      <c r="C81" s="6"/>
      <c r="I81" s="21"/>
      <c r="J81" s="21"/>
      <c r="K81" s="21"/>
      <c r="L81" s="21"/>
      <c r="M81" s="21"/>
    </row>
    <row r="82" spans="1:13" ht="15">
      <c r="A82" s="86"/>
      <c r="C82" s="6" t="s">
        <v>36</v>
      </c>
      <c r="I82" s="21"/>
      <c r="J82" s="21"/>
      <c r="K82" s="21"/>
      <c r="L82" s="21"/>
      <c r="M82" s="21"/>
    </row>
    <row r="83" spans="1:9" ht="18" thickBot="1">
      <c r="A83" s="84"/>
      <c r="C83">
        <v>137</v>
      </c>
      <c r="D83" t="s">
        <v>22</v>
      </c>
      <c r="G83" t="s">
        <v>46</v>
      </c>
      <c r="H83">
        <v>0.395636</v>
      </c>
      <c r="I83" t="s">
        <v>51</v>
      </c>
    </row>
    <row r="84" spans="1:18" ht="18" thickBot="1">
      <c r="A84" s="84"/>
      <c r="C84" s="17" t="s">
        <v>21</v>
      </c>
      <c r="D84">
        <v>0.38335</v>
      </c>
      <c r="E84" t="s">
        <v>33</v>
      </c>
      <c r="F84" s="2"/>
      <c r="G84" t="s">
        <v>48</v>
      </c>
      <c r="H84">
        <v>2.181201</v>
      </c>
      <c r="I84" t="s">
        <v>51</v>
      </c>
      <c r="N84" s="163" t="s">
        <v>113</v>
      </c>
      <c r="O84" s="164"/>
      <c r="P84" s="164"/>
      <c r="Q84" s="164"/>
      <c r="R84" s="165"/>
    </row>
    <row r="85" spans="1:18" ht="17.25">
      <c r="A85" s="84"/>
      <c r="C85" s="17" t="s">
        <v>24</v>
      </c>
      <c r="D85" s="3">
        <f>C83/D84</f>
        <v>357.3757662710317</v>
      </c>
      <c r="E85" t="s">
        <v>32</v>
      </c>
      <c r="G85" t="s">
        <v>47</v>
      </c>
      <c r="H85">
        <v>-0.983466</v>
      </c>
      <c r="I85" t="s">
        <v>51</v>
      </c>
      <c r="N85" s="33" t="s">
        <v>50</v>
      </c>
      <c r="O85" s="81">
        <v>0.47140696151158745</v>
      </c>
      <c r="P85" s="81" t="s">
        <v>51</v>
      </c>
      <c r="Q85" s="67">
        <f>O85*$O$90</f>
        <v>10.226273147550309</v>
      </c>
      <c r="R85" s="90" t="s">
        <v>63</v>
      </c>
    </row>
    <row r="86" spans="1:18" ht="17.25">
      <c r="A86" s="84"/>
      <c r="C86" s="18" t="s">
        <v>34</v>
      </c>
      <c r="D86" t="s">
        <v>35</v>
      </c>
      <c r="G86" t="s">
        <v>49</v>
      </c>
      <c r="H86">
        <f>H84-H83+H85</f>
        <v>0.8020990000000001</v>
      </c>
      <c r="I86" t="s">
        <v>51</v>
      </c>
      <c r="N86" s="33" t="s">
        <v>52</v>
      </c>
      <c r="O86" s="81">
        <v>0.22133507571712896</v>
      </c>
      <c r="P86" s="81" t="s">
        <v>51</v>
      </c>
      <c r="Q86" s="67">
        <f>O86*$O$90</f>
        <v>4.801441485206947</v>
      </c>
      <c r="R86" s="90" t="s">
        <v>63</v>
      </c>
    </row>
    <row r="87" spans="1:18" ht="17.25">
      <c r="A87" s="84"/>
      <c r="G87" s="17" t="s">
        <v>24</v>
      </c>
      <c r="H87">
        <f>H88/H86</f>
        <v>21.817755663577685</v>
      </c>
      <c r="I87" t="s">
        <v>45</v>
      </c>
      <c r="K87" s="18"/>
      <c r="M87" s="18"/>
      <c r="N87" s="33" t="s">
        <v>53</v>
      </c>
      <c r="O87" s="81">
        <v>0.06261516564550536</v>
      </c>
      <c r="P87" s="81" t="s">
        <v>51</v>
      </c>
      <c r="Q87" s="67">
        <f>O87*$O$90</f>
        <v>1.3583163579443802</v>
      </c>
      <c r="R87" s="90" t="s">
        <v>63</v>
      </c>
    </row>
    <row r="88" spans="1:18" ht="18" thickBot="1">
      <c r="A88" s="84"/>
      <c r="C88" s="6" t="s">
        <v>23</v>
      </c>
      <c r="D88">
        <v>0.1201</v>
      </c>
      <c r="E88" t="s">
        <v>29</v>
      </c>
      <c r="H88">
        <v>17.5</v>
      </c>
      <c r="I88" t="s">
        <v>27</v>
      </c>
      <c r="K88" s="18"/>
      <c r="M88" s="18"/>
      <c r="N88" s="33" t="s">
        <v>54</v>
      </c>
      <c r="O88" s="81">
        <v>0.046741568784983756</v>
      </c>
      <c r="P88" s="81" t="s">
        <v>51</v>
      </c>
      <c r="Q88" s="67">
        <f>O88*$O$90</f>
        <v>1.0139690092983615</v>
      </c>
      <c r="R88" s="90" t="s">
        <v>63</v>
      </c>
    </row>
    <row r="89" spans="1:18" ht="17.25">
      <c r="A89" s="84"/>
      <c r="C89" s="17" t="s">
        <v>21</v>
      </c>
      <c r="D89">
        <v>261.3</v>
      </c>
      <c r="E89" t="s">
        <v>28</v>
      </c>
      <c r="K89" s="17"/>
      <c r="M89" s="17"/>
      <c r="N89" s="96" t="s">
        <v>111</v>
      </c>
      <c r="O89" s="102">
        <f>SUM(O85:O88)</f>
        <v>0.8020987716592056</v>
      </c>
      <c r="P89" s="81" t="s">
        <v>51</v>
      </c>
      <c r="Q89" s="104">
        <f>O89*$O$90</f>
        <v>17.4</v>
      </c>
      <c r="R89" s="90" t="s">
        <v>63</v>
      </c>
    </row>
    <row r="90" spans="1:18" ht="17.25">
      <c r="A90" s="84"/>
      <c r="C90" s="17" t="s">
        <v>24</v>
      </c>
      <c r="D90" s="8">
        <f>D88/D89</f>
        <v>0.0004596249521622656</v>
      </c>
      <c r="E90" t="s">
        <v>30</v>
      </c>
      <c r="G90" t="s">
        <v>61</v>
      </c>
      <c r="K90" s="17"/>
      <c r="M90" s="17"/>
      <c r="N90" s="96" t="s">
        <v>5</v>
      </c>
      <c r="O90" s="67">
        <f>17.4/O89</f>
        <v>21.693088949639836</v>
      </c>
      <c r="P90" s="81" t="s">
        <v>45</v>
      </c>
      <c r="Q90" s="81"/>
      <c r="R90" s="90"/>
    </row>
    <row r="91" spans="1:18" ht="15">
      <c r="A91" s="84"/>
      <c r="C91" s="18" t="s">
        <v>5</v>
      </c>
      <c r="D91">
        <v>137</v>
      </c>
      <c r="E91" t="s">
        <v>25</v>
      </c>
      <c r="G91" t="s">
        <v>56</v>
      </c>
      <c r="H91">
        <v>1309</v>
      </c>
      <c r="I91" t="s">
        <v>58</v>
      </c>
      <c r="K91" s="17"/>
      <c r="M91" s="17"/>
      <c r="N91" s="97" t="s">
        <v>24</v>
      </c>
      <c r="O91" s="81">
        <f>O89*O90</f>
        <v>17.4</v>
      </c>
      <c r="P91" s="81" t="s">
        <v>27</v>
      </c>
      <c r="Q91" s="81"/>
      <c r="R91" s="90"/>
    </row>
    <row r="92" spans="3:18" ht="17.25">
      <c r="C92" s="17" t="s">
        <v>24</v>
      </c>
      <c r="D92">
        <f>D90*D91</f>
        <v>0.06296861844623039</v>
      </c>
      <c r="E92" t="s">
        <v>26</v>
      </c>
      <c r="G92" t="s">
        <v>59</v>
      </c>
      <c r="H92">
        <f>(10.75*10.75-9.564*9.564)*PI()/4*1200</f>
        <v>22706.555824115207</v>
      </c>
      <c r="I92" t="s">
        <v>57</v>
      </c>
      <c r="N92" s="33" t="s">
        <v>114</v>
      </c>
      <c r="O92" s="81">
        <v>1.5</v>
      </c>
      <c r="P92" s="81" t="s">
        <v>27</v>
      </c>
      <c r="Q92" s="81"/>
      <c r="R92" s="90"/>
    </row>
    <row r="93" spans="3:18" ht="18" thickBot="1">
      <c r="C93" s="18" t="s">
        <v>5</v>
      </c>
      <c r="D93" s="3">
        <v>453.59237</v>
      </c>
      <c r="E93" t="s">
        <v>31</v>
      </c>
      <c r="G93" s="17" t="s">
        <v>24</v>
      </c>
      <c r="H93">
        <f>H91/H92</f>
        <v>0.05764854917405806</v>
      </c>
      <c r="I93" t="s">
        <v>2</v>
      </c>
      <c r="N93" s="98" t="s">
        <v>115</v>
      </c>
      <c r="O93" s="105">
        <f>55.8-O91-O92</f>
        <v>36.9</v>
      </c>
      <c r="P93" s="81" t="s">
        <v>27</v>
      </c>
      <c r="Q93" s="81"/>
      <c r="R93" s="90"/>
    </row>
    <row r="94" spans="3:18" ht="15" thickBot="1">
      <c r="C94" s="17" t="s">
        <v>24</v>
      </c>
      <c r="D94" s="3">
        <f>D92*D93</f>
        <v>28.56208487665136</v>
      </c>
      <c r="E94" t="s">
        <v>62</v>
      </c>
      <c r="G94" s="18" t="s">
        <v>5</v>
      </c>
      <c r="H94" s="3">
        <v>453.59237</v>
      </c>
      <c r="I94" s="76" t="s">
        <v>60</v>
      </c>
      <c r="N94" s="99" t="s">
        <v>112</v>
      </c>
      <c r="O94" s="103">
        <f>SUM(O91:O93)</f>
        <v>55.8</v>
      </c>
      <c r="P94" s="100" t="s">
        <v>27</v>
      </c>
      <c r="Q94" s="100"/>
      <c r="R94" s="101"/>
    </row>
    <row r="95" spans="3:9" ht="17.25">
      <c r="C95" s="17" t="s">
        <v>37</v>
      </c>
      <c r="D95">
        <v>50.4</v>
      </c>
      <c r="E95" t="s">
        <v>38</v>
      </c>
      <c r="G95" s="17" t="s">
        <v>24</v>
      </c>
      <c r="H95">
        <f>H93*H94</f>
        <v>26.14894204692254</v>
      </c>
      <c r="I95" t="s">
        <v>11</v>
      </c>
    </row>
    <row r="96" spans="3:5" ht="15">
      <c r="C96" s="17" t="s">
        <v>24</v>
      </c>
      <c r="D96" s="3">
        <f>D95-D94</f>
        <v>21.837915123348637</v>
      </c>
      <c r="E96" t="s">
        <v>39</v>
      </c>
    </row>
    <row r="98" spans="3:15" ht="17.25">
      <c r="C98" s="18" t="s">
        <v>40</v>
      </c>
      <c r="D98">
        <v>1330</v>
      </c>
      <c r="E98" t="s">
        <v>41</v>
      </c>
      <c r="O98" s="95"/>
    </row>
    <row r="99" spans="3:5" ht="17.25">
      <c r="C99" s="17" t="s">
        <v>24</v>
      </c>
      <c r="D99" s="19">
        <f>D98*1000</f>
        <v>1330000</v>
      </c>
      <c r="E99" t="s">
        <v>42</v>
      </c>
    </row>
    <row r="100" spans="3:5" ht="17.25">
      <c r="C100" s="17" t="s">
        <v>24</v>
      </c>
      <c r="D100">
        <f>D99/1000000</f>
        <v>1.33</v>
      </c>
      <c r="E100" t="s">
        <v>43</v>
      </c>
    </row>
    <row r="101" spans="3:5" ht="17.25">
      <c r="C101" s="18" t="s">
        <v>5</v>
      </c>
      <c r="D101">
        <f>2.54*2.54*2.54</f>
        <v>16.387064</v>
      </c>
      <c r="E101" t="s">
        <v>44</v>
      </c>
    </row>
    <row r="102" spans="3:5" ht="17.25">
      <c r="C102" s="17" t="s">
        <v>24</v>
      </c>
      <c r="D102">
        <f>D100*D101</f>
        <v>21.79479512</v>
      </c>
      <c r="E102" t="s">
        <v>45</v>
      </c>
    </row>
    <row r="104" spans="3:9" ht="15">
      <c r="C104" s="166" t="s">
        <v>120</v>
      </c>
      <c r="D104" s="167"/>
      <c r="E104" s="167"/>
      <c r="F104" s="167"/>
      <c r="G104" s="168"/>
      <c r="H104" s="168"/>
      <c r="I104" s="168"/>
    </row>
    <row r="105" spans="4:9" ht="15">
      <c r="D105" s="125" t="s">
        <v>121</v>
      </c>
      <c r="E105" s="4" t="s">
        <v>122</v>
      </c>
      <c r="F105" s="125" t="s">
        <v>147</v>
      </c>
      <c r="G105" s="125" t="s">
        <v>148</v>
      </c>
      <c r="H105" s="125" t="s">
        <v>149</v>
      </c>
      <c r="I105" s="4" t="s">
        <v>123</v>
      </c>
    </row>
    <row r="106" spans="3:9" ht="15">
      <c r="C106" t="s">
        <v>124</v>
      </c>
      <c r="D106" s="128">
        <v>1</v>
      </c>
      <c r="E106" s="128">
        <v>1</v>
      </c>
      <c r="F106" s="128">
        <v>1</v>
      </c>
      <c r="G106" s="128">
        <v>1</v>
      </c>
      <c r="H106" s="128">
        <v>1</v>
      </c>
      <c r="I106" s="128">
        <v>1</v>
      </c>
    </row>
    <row r="107" spans="3:9" ht="15">
      <c r="C107" t="s">
        <v>145</v>
      </c>
      <c r="D107" s="21">
        <v>0.09665</v>
      </c>
      <c r="E107" s="21">
        <v>0.11885</v>
      </c>
      <c r="F107" s="21">
        <f>(0.164+0.1257)/2</f>
        <v>0.14485</v>
      </c>
      <c r="G107" s="21">
        <v>0.16445</v>
      </c>
      <c r="H107" s="21">
        <v>0.17085</v>
      </c>
      <c r="I107" s="21">
        <v>0.21935</v>
      </c>
    </row>
    <row r="108" spans="3:9" ht="15">
      <c r="C108" t="s">
        <v>146</v>
      </c>
      <c r="D108" s="21">
        <f aca="true" t="shared" si="13" ref="D108:I108">D107/2</f>
        <v>0.048325</v>
      </c>
      <c r="E108" s="21">
        <f t="shared" si="13"/>
        <v>0.059425</v>
      </c>
      <c r="F108" s="21">
        <f t="shared" si="13"/>
        <v>0.072425</v>
      </c>
      <c r="G108" s="21">
        <f t="shared" si="13"/>
        <v>0.082225</v>
      </c>
      <c r="H108" s="21">
        <f t="shared" si="13"/>
        <v>0.085425</v>
      </c>
      <c r="I108" s="21">
        <f t="shared" si="13"/>
        <v>0.109675</v>
      </c>
    </row>
    <row r="109" spans="3:9" ht="15">
      <c r="C109" t="s">
        <v>141</v>
      </c>
      <c r="D109" s="21">
        <v>0.116</v>
      </c>
      <c r="E109" s="21">
        <v>0.144</v>
      </c>
      <c r="F109" s="21">
        <v>0.1695</v>
      </c>
      <c r="G109" s="21">
        <v>0.196</v>
      </c>
      <c r="H109" s="21">
        <v>0.196</v>
      </c>
      <c r="I109" s="21">
        <v>0.257</v>
      </c>
    </row>
    <row r="110" spans="3:9" ht="15">
      <c r="C110" t="s">
        <v>142</v>
      </c>
      <c r="D110" s="21">
        <f aca="true" t="shared" si="14" ref="D110:I110">D109/2</f>
        <v>0.058</v>
      </c>
      <c r="E110" s="21">
        <f t="shared" si="14"/>
        <v>0.072</v>
      </c>
      <c r="F110" s="21">
        <f t="shared" si="14"/>
        <v>0.08475</v>
      </c>
      <c r="G110" s="21">
        <f t="shared" si="14"/>
        <v>0.098</v>
      </c>
      <c r="H110" s="21">
        <f t="shared" si="14"/>
        <v>0.098</v>
      </c>
      <c r="I110" s="21">
        <f t="shared" si="14"/>
        <v>0.1285</v>
      </c>
    </row>
    <row r="111" spans="3:9" ht="15">
      <c r="C111" t="s">
        <v>126</v>
      </c>
      <c r="D111" s="21">
        <v>0.11</v>
      </c>
      <c r="E111" s="21">
        <v>0.136</v>
      </c>
      <c r="F111" s="21">
        <v>0.1615</v>
      </c>
      <c r="G111" s="21">
        <v>0.1875</v>
      </c>
      <c r="H111" s="21">
        <v>0.1875</v>
      </c>
      <c r="I111" s="21">
        <v>0.1875</v>
      </c>
    </row>
    <row r="112" spans="3:9" ht="15">
      <c r="C112" t="s">
        <v>127</v>
      </c>
      <c r="D112" s="21">
        <v>0.182</v>
      </c>
      <c r="E112" s="21">
        <v>0.222</v>
      </c>
      <c r="F112" s="21">
        <v>0.266</v>
      </c>
      <c r="G112" s="21">
        <v>0.3075</v>
      </c>
      <c r="H112" s="21">
        <v>0.3075</v>
      </c>
      <c r="I112" s="21">
        <v>0.37</v>
      </c>
    </row>
    <row r="113" spans="3:9" ht="15">
      <c r="C113" t="s">
        <v>143</v>
      </c>
      <c r="D113" s="21">
        <f aca="true" t="shared" si="15" ref="D113:I113">D112/2</f>
        <v>0.091</v>
      </c>
      <c r="E113" s="21">
        <f t="shared" si="15"/>
        <v>0.111</v>
      </c>
      <c r="F113" s="21">
        <f t="shared" si="15"/>
        <v>0.133</v>
      </c>
      <c r="G113" s="21">
        <f t="shared" si="15"/>
        <v>0.15375</v>
      </c>
      <c r="H113" s="21">
        <f t="shared" si="15"/>
        <v>0.15375</v>
      </c>
      <c r="I113" s="21">
        <f t="shared" si="15"/>
        <v>0.185</v>
      </c>
    </row>
    <row r="114" spans="3:9" ht="15">
      <c r="C114" t="s">
        <v>128</v>
      </c>
      <c r="D114" s="21">
        <v>0.09445</v>
      </c>
      <c r="E114" s="126">
        <v>0.11025</v>
      </c>
      <c r="F114" s="21">
        <v>0.1416</v>
      </c>
      <c r="G114" s="21">
        <v>0.15625</v>
      </c>
      <c r="H114" s="21">
        <v>0.15625</v>
      </c>
      <c r="I114" s="21">
        <v>0.18875</v>
      </c>
    </row>
    <row r="115" spans="3:9" ht="15">
      <c r="C115" t="s">
        <v>144</v>
      </c>
      <c r="D115" s="21">
        <f aca="true" t="shared" si="16" ref="D115:I115">D114/SQRT(3)</f>
        <v>0.05453073292496016</v>
      </c>
      <c r="E115" s="127">
        <f t="shared" si="16"/>
        <v>0.06365286717815624</v>
      </c>
      <c r="F115" s="21">
        <f t="shared" si="16"/>
        <v>0.08175279811725102</v>
      </c>
      <c r="G115" s="21">
        <f t="shared" si="16"/>
        <v>0.09021097956087903</v>
      </c>
      <c r="H115" s="21">
        <f t="shared" si="16"/>
        <v>0.09021097956087903</v>
      </c>
      <c r="I115" s="21">
        <f t="shared" si="16"/>
        <v>0.10897486330954187</v>
      </c>
    </row>
    <row r="116" spans="3:9" ht="15">
      <c r="C116" t="s">
        <v>129</v>
      </c>
      <c r="D116" s="21">
        <v>0.51</v>
      </c>
      <c r="E116" s="21">
        <v>0.064</v>
      </c>
      <c r="F116" s="21">
        <v>0.077</v>
      </c>
      <c r="G116" s="21">
        <v>0.09</v>
      </c>
      <c r="H116" s="21">
        <v>0.09</v>
      </c>
      <c r="I116" s="21">
        <v>0.12</v>
      </c>
    </row>
    <row r="117" spans="3:9" ht="17.25">
      <c r="C117" t="s">
        <v>132</v>
      </c>
      <c r="D117" s="21">
        <f aca="true" t="shared" si="17" ref="D117:I117">PI()*D107*D107/4</f>
        <v>0.00733657899538692</v>
      </c>
      <c r="E117" s="21">
        <f t="shared" si="17"/>
        <v>0.011094002348896653</v>
      </c>
      <c r="F117" s="21">
        <f t="shared" si="17"/>
        <v>0.01647884923678224</v>
      </c>
      <c r="G117" s="21">
        <f t="shared" si="17"/>
        <v>0.021240152814783322</v>
      </c>
      <c r="H117" s="21">
        <f t="shared" si="17"/>
        <v>0.02292555444158117</v>
      </c>
      <c r="I117" s="21">
        <f t="shared" si="17"/>
        <v>0.03778897906442886</v>
      </c>
    </row>
    <row r="118" spans="3:9" ht="15">
      <c r="C118" t="s">
        <v>130</v>
      </c>
      <c r="D118" s="21">
        <f aca="true" t="shared" si="18" ref="D118:I118">D117*$E$7</f>
        <v>0.9617998282687413</v>
      </c>
      <c r="E118" s="21">
        <f t="shared" si="18"/>
        <v>1.45438487893213</v>
      </c>
      <c r="F118" s="21">
        <f t="shared" si="18"/>
        <v>2.160319458969823</v>
      </c>
      <c r="G118" s="21">
        <f t="shared" si="18"/>
        <v>2.784509693483242</v>
      </c>
      <c r="H118" s="21">
        <f t="shared" si="18"/>
        <v>3.005459947850746</v>
      </c>
      <c r="I118" s="21">
        <f t="shared" si="18"/>
        <v>4.954002893919897</v>
      </c>
    </row>
    <row r="119" spans="3:9" ht="15">
      <c r="C119" t="s">
        <v>136</v>
      </c>
      <c r="D119" s="21">
        <f aca="true" t="shared" si="19" ref="D119:I119">D106/2</f>
        <v>0.5</v>
      </c>
      <c r="E119" s="21">
        <f t="shared" si="19"/>
        <v>0.5</v>
      </c>
      <c r="F119" s="21">
        <f t="shared" si="19"/>
        <v>0.5</v>
      </c>
      <c r="G119" s="21">
        <f t="shared" si="19"/>
        <v>0.5</v>
      </c>
      <c r="H119" s="21">
        <f t="shared" si="19"/>
        <v>0.5</v>
      </c>
      <c r="I119" s="21">
        <f t="shared" si="19"/>
        <v>0.5</v>
      </c>
    </row>
    <row r="120" spans="3:9" ht="17.25">
      <c r="C120" t="s">
        <v>133</v>
      </c>
      <c r="D120" s="21">
        <f aca="true" t="shared" si="20" ref="D120:I120">PI()*D112*D112/4</f>
        <v>0.026015528764377075</v>
      </c>
      <c r="E120" s="21">
        <f t="shared" si="20"/>
        <v>0.03870756308487985</v>
      </c>
      <c r="F120" s="21">
        <f t="shared" si="20"/>
        <v>0.05557163244934986</v>
      </c>
      <c r="G120" s="21">
        <f t="shared" si="20"/>
        <v>0.07426430508774996</v>
      </c>
      <c r="H120" s="21">
        <f t="shared" si="20"/>
        <v>0.07426430508774996</v>
      </c>
      <c r="I120" s="21">
        <f t="shared" si="20"/>
        <v>0.10752100856911068</v>
      </c>
    </row>
    <row r="121" spans="3:9" ht="15">
      <c r="C121" t="s">
        <v>131</v>
      </c>
      <c r="D121" s="21">
        <f aca="true" t="shared" si="21" ref="D121:I121">D120*$E$7</f>
        <v>3.410544766659159</v>
      </c>
      <c r="E121" s="21">
        <f t="shared" si="21"/>
        <v>5.074426043956951</v>
      </c>
      <c r="F121" s="21">
        <f t="shared" si="21"/>
        <v>7.285246513396193</v>
      </c>
      <c r="G121" s="21">
        <f t="shared" si="21"/>
        <v>9.735790471936212</v>
      </c>
      <c r="H121" s="21">
        <f t="shared" si="21"/>
        <v>9.735790471936212</v>
      </c>
      <c r="I121" s="21">
        <f t="shared" si="21"/>
        <v>14.095627899880418</v>
      </c>
    </row>
    <row r="122" spans="3:9" ht="15">
      <c r="C122" t="s">
        <v>137</v>
      </c>
      <c r="D122" s="21">
        <f aca="true" t="shared" si="22" ref="D122:I122">-D111/2</f>
        <v>-0.055</v>
      </c>
      <c r="E122" s="21">
        <f t="shared" si="22"/>
        <v>-0.068</v>
      </c>
      <c r="F122" s="21">
        <f t="shared" si="22"/>
        <v>-0.08075</v>
      </c>
      <c r="G122" s="21">
        <f t="shared" si="22"/>
        <v>-0.09375</v>
      </c>
      <c r="H122" s="21">
        <f t="shared" si="22"/>
        <v>-0.09375</v>
      </c>
      <c r="I122" s="21">
        <f t="shared" si="22"/>
        <v>-0.09375</v>
      </c>
    </row>
    <row r="123" spans="3:9" ht="17.25">
      <c r="C123" t="s">
        <v>135</v>
      </c>
      <c r="D123" s="21"/>
      <c r="E123" s="21"/>
      <c r="F123" s="21"/>
      <c r="G123" s="21"/>
      <c r="I123" s="21"/>
    </row>
    <row r="124" spans="3:9" ht="15">
      <c r="C124" t="s">
        <v>134</v>
      </c>
      <c r="D124" s="21"/>
      <c r="E124" s="21"/>
      <c r="F124" s="21"/>
      <c r="G124" s="21"/>
      <c r="I124" s="21"/>
    </row>
    <row r="125" spans="3:9" ht="15">
      <c r="C125" t="s">
        <v>138</v>
      </c>
      <c r="D125" s="21"/>
      <c r="E125" s="21"/>
      <c r="F125" s="21"/>
      <c r="G125" s="21"/>
      <c r="I125" s="21"/>
    </row>
    <row r="126" spans="3:9" ht="15">
      <c r="C126" t="s">
        <v>139</v>
      </c>
      <c r="D126" s="21">
        <f aca="true" t="shared" si="23" ref="D126:I126">D118+D121+D124</f>
        <v>4.372344594927901</v>
      </c>
      <c r="E126" s="21">
        <f t="shared" si="23"/>
        <v>6.528810922889081</v>
      </c>
      <c r="F126" s="21">
        <f t="shared" si="23"/>
        <v>9.445565972366015</v>
      </c>
      <c r="G126" s="21">
        <f t="shared" si="23"/>
        <v>12.520300165419455</v>
      </c>
      <c r="H126" s="21">
        <f t="shared" si="23"/>
        <v>12.741250419786958</v>
      </c>
      <c r="I126" s="21">
        <f t="shared" si="23"/>
        <v>19.049630793800315</v>
      </c>
    </row>
    <row r="127" spans="3:8" ht="15">
      <c r="C127" t="s">
        <v>140</v>
      </c>
      <c r="D127" s="21"/>
      <c r="E127" s="21"/>
      <c r="H127" s="21"/>
    </row>
    <row r="128" spans="4:8" ht="15">
      <c r="D128" s="21"/>
      <c r="E128" s="21"/>
      <c r="H128" s="21"/>
    </row>
    <row r="129" spans="3:9" ht="15">
      <c r="C129" s="21"/>
      <c r="D129" s="157" t="s">
        <v>158</v>
      </c>
      <c r="E129" s="157"/>
      <c r="F129" s="157"/>
      <c r="G129" s="157"/>
      <c r="H129" s="157"/>
      <c r="I129" s="157"/>
    </row>
    <row r="130" spans="3:9" ht="15">
      <c r="C130" s="21"/>
      <c r="D130" s="123" t="s">
        <v>151</v>
      </c>
      <c r="E130" s="123" t="s">
        <v>152</v>
      </c>
      <c r="F130" s="123"/>
      <c r="G130" s="123"/>
      <c r="H130" s="123" t="s">
        <v>153</v>
      </c>
      <c r="I130" s="123"/>
    </row>
    <row r="131" spans="3:9" ht="15">
      <c r="C131" s="21" t="s">
        <v>160</v>
      </c>
      <c r="D131" s="21">
        <f>2*D132</f>
        <v>0.12</v>
      </c>
      <c r="E131" s="21">
        <f>2*E132</f>
        <v>0.148</v>
      </c>
      <c r="F131" s="21"/>
      <c r="G131" s="21"/>
      <c r="H131" s="21">
        <f>2*H132</f>
        <v>0.2</v>
      </c>
      <c r="I131" s="21"/>
    </row>
    <row r="132" spans="3:9" ht="15">
      <c r="C132" s="21" t="s">
        <v>161</v>
      </c>
      <c r="D132" s="21">
        <v>0.06</v>
      </c>
      <c r="E132" s="21">
        <v>0.074</v>
      </c>
      <c r="F132" s="21"/>
      <c r="G132" s="21"/>
      <c r="H132" s="21">
        <v>0.1</v>
      </c>
      <c r="I132" s="21"/>
    </row>
    <row r="133" spans="3:9" ht="15">
      <c r="C133" s="21" t="s">
        <v>162</v>
      </c>
      <c r="D133" s="21">
        <f>2*D134</f>
        <v>0.209</v>
      </c>
      <c r="E133" s="21">
        <f>2*E134</f>
        <v>0.25</v>
      </c>
      <c r="F133" s="21"/>
      <c r="G133" s="21"/>
      <c r="H133" s="21">
        <f>2*H134</f>
        <v>0.334</v>
      </c>
      <c r="I133" s="21"/>
    </row>
    <row r="134" spans="3:9" ht="15">
      <c r="C134" s="21" t="s">
        <v>150</v>
      </c>
      <c r="D134" s="21">
        <v>0.1045</v>
      </c>
      <c r="E134" s="21">
        <v>0.125</v>
      </c>
      <c r="F134" s="21"/>
      <c r="G134" s="21"/>
      <c r="H134" s="21">
        <v>0.167</v>
      </c>
      <c r="I134" s="21"/>
    </row>
    <row r="135" spans="3:9" ht="15">
      <c r="C135" s="21" t="s">
        <v>159</v>
      </c>
      <c r="D135" s="21">
        <v>0.025</v>
      </c>
      <c r="E135" s="21">
        <v>0.031</v>
      </c>
      <c r="F135" s="21"/>
      <c r="G135" s="21"/>
      <c r="H135" s="21">
        <v>0.047</v>
      </c>
      <c r="I135" s="21"/>
    </row>
    <row r="136" spans="3:9" ht="15">
      <c r="C136" s="21"/>
      <c r="D136" s="21"/>
      <c r="E136" s="21"/>
      <c r="F136" s="21"/>
      <c r="G136" s="21"/>
      <c r="H136" s="21"/>
      <c r="I136" s="21"/>
    </row>
    <row r="137" spans="3:9" ht="15">
      <c r="C137" s="21"/>
      <c r="D137" s="157" t="s">
        <v>157</v>
      </c>
      <c r="E137" s="157"/>
      <c r="F137" s="157"/>
      <c r="G137" s="157"/>
      <c r="H137" s="157"/>
      <c r="I137" s="21"/>
    </row>
    <row r="138" spans="3:9" ht="15">
      <c r="C138" s="21"/>
      <c r="D138" s="123" t="s">
        <v>154</v>
      </c>
      <c r="E138" s="123" t="s">
        <v>155</v>
      </c>
      <c r="F138" s="123"/>
      <c r="G138" s="123"/>
      <c r="H138" s="123" t="s">
        <v>156</v>
      </c>
      <c r="I138" s="123"/>
    </row>
    <row r="139" spans="3:9" ht="15">
      <c r="C139" s="21" t="s">
        <v>160</v>
      </c>
      <c r="D139" s="21">
        <v>0.125</v>
      </c>
      <c r="E139" s="21">
        <v>0.149</v>
      </c>
      <c r="F139" s="21"/>
      <c r="G139" s="21"/>
      <c r="H139" s="21">
        <v>0.203</v>
      </c>
      <c r="I139" s="21"/>
    </row>
    <row r="140" spans="3:9" ht="15">
      <c r="C140" s="21" t="s">
        <v>161</v>
      </c>
      <c r="D140" s="21">
        <f>D139/2</f>
        <v>0.0625</v>
      </c>
      <c r="E140" s="21">
        <f>E139/2</f>
        <v>0.0745</v>
      </c>
      <c r="F140" s="21"/>
      <c r="G140" s="21"/>
      <c r="H140" s="21">
        <f>H139/2</f>
        <v>0.1015</v>
      </c>
      <c r="I140" s="21"/>
    </row>
    <row r="141" spans="3:9" ht="15">
      <c r="C141" s="21" t="s">
        <v>162</v>
      </c>
      <c r="D141" s="21">
        <v>0.312</v>
      </c>
      <c r="E141" s="21">
        <v>0.375</v>
      </c>
      <c r="F141" s="21"/>
      <c r="G141" s="21"/>
      <c r="H141" s="21">
        <v>0.438</v>
      </c>
      <c r="I141" s="21"/>
    </row>
    <row r="142" spans="3:8" ht="15">
      <c r="C142" s="21" t="s">
        <v>150</v>
      </c>
      <c r="D142" s="21">
        <f>D141/2</f>
        <v>0.156</v>
      </c>
      <c r="E142" s="21">
        <f>E141/2</f>
        <v>0.1875</v>
      </c>
      <c r="F142" s="21"/>
      <c r="G142" s="21"/>
      <c r="H142" s="21">
        <v>0.203</v>
      </c>
    </row>
    <row r="143" spans="3:8" ht="15">
      <c r="C143" s="21" t="s">
        <v>159</v>
      </c>
      <c r="D143" s="21">
        <v>0.016</v>
      </c>
      <c r="E143" s="21">
        <v>0.016</v>
      </c>
      <c r="F143" s="21"/>
      <c r="G143" s="21"/>
      <c r="H143" s="21">
        <v>0.024</v>
      </c>
    </row>
    <row r="144" spans="3:8" ht="15">
      <c r="C144" s="21"/>
      <c r="D144" s="21"/>
      <c r="E144" s="21"/>
      <c r="F144" s="21"/>
      <c r="G144" s="21"/>
      <c r="H144" s="21"/>
    </row>
  </sheetData>
  <sheetProtection/>
  <mergeCells count="6">
    <mergeCell ref="B10:C10"/>
    <mergeCell ref="G67:I67"/>
    <mergeCell ref="N84:R84"/>
    <mergeCell ref="C104:I104"/>
    <mergeCell ref="D129:I129"/>
    <mergeCell ref="D137:H137"/>
  </mergeCells>
  <printOptions gridLines="1"/>
  <pageMargins left="0.52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Nordgren</dc:creator>
  <cp:keywords/>
  <dc:description/>
  <cp:lastModifiedBy>Brett</cp:lastModifiedBy>
  <cp:lastPrinted>2009-02-24T18:12:20Z</cp:lastPrinted>
  <dcterms:created xsi:type="dcterms:W3CDTF">2008-12-30T03:07:56Z</dcterms:created>
  <dcterms:modified xsi:type="dcterms:W3CDTF">2010-05-05T13:40:40Z</dcterms:modified>
  <cp:category/>
  <cp:version/>
  <cp:contentType/>
  <cp:contentStatus/>
</cp:coreProperties>
</file>